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" windowWidth="15480" windowHeight="11640" tabRatio="560" firstSheet="1" activeTab="1"/>
  </bookViews>
  <sheets>
    <sheet name="Tables" sheetId="1" state="hidden" r:id="rId1"/>
    <sheet name="RegList" sheetId="2" r:id="rId2"/>
    <sheet name="TatA" sheetId="3" r:id="rId3"/>
    <sheet name="HjArk" sheetId="4" state="hidden" r:id="rId4"/>
    <sheet name="Tab" sheetId="5" state="hidden" r:id="rId5"/>
    <sheet name="HjHoved" sheetId="6" state="hidden" r:id="rId6"/>
    <sheet name="TimeScedule" sheetId="7" state="hidden" r:id="rId7"/>
    <sheet name="Lists" sheetId="8" r:id="rId8"/>
  </sheets>
  <externalReferences>
    <externalReference r:id="rId11"/>
    <externalReference r:id="rId12"/>
  </externalReferences>
  <definedNames>
    <definedName name="_xlnm._FilterDatabase" localSheetId="5" hidden="1">'HjHoved'!$A$1:$A$36</definedName>
    <definedName name="A39_H42">'Tables'!$A$39:$H$42</definedName>
    <definedName name="AktBok">'HjArk'!$F$80</definedName>
    <definedName name="AktVektKl">'HjArk'!$F$58</definedName>
    <definedName name="AntIKlasse">'HjHoved'!$O$1</definedName>
    <definedName name="AntList">'HjArk'!$F$82</definedName>
    <definedName name="AntPoints">'HjHoved'!$O$2</definedName>
    <definedName name="AntSeeding">'HjHoved'!$O$9</definedName>
    <definedName name="AntSidet">'HjHoved'!$O$10</definedName>
    <definedName name="AntTatA">'HjArk'!$F$40</definedName>
    <definedName name="AntTatB">'HjArk'!$F$41</definedName>
    <definedName name="AntTatC">'HjArk'!$F$42</definedName>
    <definedName name="AntVektKlasser">'HjArk'!$E$3</definedName>
    <definedName name="B_4">'HjArk'!$B$4</definedName>
    <definedName name="BrFTatA">IF(MatchTimeB="","",IF('Tables'!IT1="","",IF(VLOOKUP('Tables'!IT1,TabOppsett,5,FALSE)=0," - ",VLOOKUP('Tables'!IT1,TabOppsett,5,FALSE))))</definedName>
    <definedName name="BrFTatB">IF(MatchTimeB="","",IF('Tables'!IT1="","",IF(VLOOKUP('Tables'!IT1,TabOppsett,5,FALSE)=0," - ",VLOOKUP('Tables'!IT1,TabOppsett,5,FALSE))))</definedName>
    <definedName name="BrFTatC">IF(MatchTimeB="","",IF('Tables'!IT1="","",IF(VLOOKUP('Tables'!IT1,TabOppsett,5,FALSE)=0," - ",VLOOKUP('Tables'!IT1,TabOppsett,5,FALSE))))</definedName>
    <definedName name="BronzeNr">'HjArk'!$F$72</definedName>
    <definedName name="C_4">'HjArk'!$C$4</definedName>
    <definedName name="Ch_Bronze">'HjArk'!$F$60</definedName>
    <definedName name="ChBronze">'HjHoved'!$O$5</definedName>
    <definedName name="CheckTall1">'HjArk'!$F$50</definedName>
    <definedName name="CheckTall2">'HjArk'!$F$51</definedName>
    <definedName name="ChFinale">'HjHoved'!$O$4</definedName>
    <definedName name="Col">'HjArk'!$I$47</definedName>
    <definedName name="ColPoeng">'HjArk'!$I$48</definedName>
    <definedName name="Comp">IF('Tables'!IV1="","",IF(VLOOKUP('Tables'!IV1,MatteFordeling,2,FALSE)=0,"",VLOOKUP('Tables'!IV1,MatteFordeling,2,FALSE)))</definedName>
    <definedName name="Cri_1" localSheetId="6">'[1]Tabeller'!#REF!</definedName>
    <definedName name="Cri_10" localSheetId="6">'[1]Tabeller'!#REF!</definedName>
    <definedName name="Cri_11" localSheetId="6">'[1]Tabeller'!#REF!</definedName>
    <definedName name="Cri_18" localSheetId="6">'[1]Tabeller'!#REF!</definedName>
    <definedName name="Cri_19" localSheetId="6">'[1]Tabeller'!#REF!</definedName>
    <definedName name="Cri_2" localSheetId="6">'[1]Tabeller'!#REF!</definedName>
    <definedName name="Cri_20" localSheetId="6">'[1]Tabeller'!#REF!</definedName>
    <definedName name="Cri_21" localSheetId="6">'[1]Tabeller'!#REF!</definedName>
    <definedName name="Cri_22" localSheetId="6">'[1]Tabeller'!#REF!</definedName>
    <definedName name="Cri_23" localSheetId="6">'[1]Tabeller'!#REF!</definedName>
    <definedName name="Cri_24" localSheetId="6">'[1]Tabeller'!#REF!</definedName>
    <definedName name="Cri_25" localSheetId="6">'[1]Tabeller'!#REF!</definedName>
    <definedName name="Cri_26" localSheetId="6">'[1]Tabeller'!#REF!</definedName>
    <definedName name="Cri_27" localSheetId="6">'[1]Tabeller'!#REF!</definedName>
    <definedName name="Cri_28" localSheetId="6">'[1]Tabeller'!#REF!</definedName>
    <definedName name="Cri_3" localSheetId="6">'[1]Tabeller'!#REF!</definedName>
    <definedName name="Cri_4" localSheetId="6">'[1]Tabeller'!#REF!</definedName>
    <definedName name="Cri_5" localSheetId="6">'[1]Tabeller'!#REF!</definedName>
    <definedName name="Cri_6" localSheetId="6">'[1]Tabeller'!#REF!</definedName>
    <definedName name="Cri_7" localSheetId="6">'[1]Tabeller'!#REF!</definedName>
    <definedName name="Cri_8" localSheetId="6">'[1]Tabeller'!#REF!</definedName>
    <definedName name="Cri_9" localSheetId="6">'[1]Tabeller'!#REF!</definedName>
    <definedName name="DataPoints">'HjArk'!$A:$H</definedName>
    <definedName name="Doegn">'HjArk'!$B$159:$C$227</definedName>
    <definedName name="Duration">'TimeScedule'!$J$4</definedName>
    <definedName name="Ee_Fem">'HjArk'!$F$160:$F$164</definedName>
    <definedName name="EndTime">'TimeScedule'!$J$3</definedName>
    <definedName name="FightNo">IF(ISTEXT(VLOOKUP('RegList'!IR1,TabB4,9,FALSE)),VLOOKUP('RegList'!IR1,TabB4,9,FALSE),HLOOKUP('RegList'!IV1,TabA209,VLOOKUP('RegList'!IR1,Tab2B,2,FALSE)+1,FALSE)+VLOOKUP('RegList'!IR1,TabB4,9,FALSE)-1)</definedName>
    <definedName name="FigO">IF('Tables'!IU1="","",VLOOKUP('Tables'!$B1,Tab3,2,FALSE))</definedName>
    <definedName name="FinaleNr">'HjArk'!$F$67</definedName>
    <definedName name="FordMatA" localSheetId="4">'Tab'!$B$106:$G$139</definedName>
    <definedName name="FordMatB" localSheetId="4">'Tab'!$I$106:$N$139</definedName>
    <definedName name="FordMatC" localSheetId="4">'Tab'!$P$106:$U$139</definedName>
    <definedName name="Kamper_Matte_A">'HjArk'!$P$4</definedName>
    <definedName name="Kamper_Matte_B">'HjArk'!$P$5</definedName>
    <definedName name="Kamper_Matte_C">'HjArk'!$P$6</definedName>
    <definedName name="Kl_A">'Tables'!$H$3:$H$36</definedName>
    <definedName name="Kl_B">'Tables'!$M$3:$M$36</definedName>
    <definedName name="Kl_C">'Tables'!$R$3:$R$36</definedName>
    <definedName name="KontrollHoved">'HjArk'!$F$62</definedName>
    <definedName name="ListNr">'HjHoved'!$O$8</definedName>
    <definedName name="LstA_Value">'HjArk'!$F$74</definedName>
    <definedName name="LstB_Value">'HjArk'!$F$75</definedName>
    <definedName name="LstC_Value">'HjArk'!$F$76</definedName>
    <definedName name="MakesLists">'HjArk'!$F$84</definedName>
    <definedName name="MatA">'Tables'!$H$3:$K$37</definedName>
    <definedName name="MatB">'Tables'!$M$3:$P$37</definedName>
    <definedName name="MatC">'Tables'!$R$3:$U$37</definedName>
    <definedName name="MatchTimeB" localSheetId="6">'TimeScedule'!$J$14</definedName>
    <definedName name="MatchTimeB">'TimeScedule'!$J$14</definedName>
    <definedName name="MatchTimeF" localSheetId="6">'TimeScedule'!$J$15</definedName>
    <definedName name="MatchTimeF">'TimeScedule'!$J$15</definedName>
    <definedName name="MatchTimeO" localSheetId="6">'TimeScedule'!$J$13</definedName>
    <definedName name="MatchTimeO">'TimeScedule'!$J$13</definedName>
    <definedName name="MatteFordeling">'HjArk'!$B$4:$F$37</definedName>
    <definedName name="Minutter">'HjArk'!$D$159:$D$219</definedName>
    <definedName name="NoBrF">IF('Tables'!IU1="","",VLOOKUP('Tables'!$B1,Tab3,4,FALSE))</definedName>
    <definedName name="NoSemiF">IF('Tables'!IU1="","",VLOOKUP('Tables'!$B1,Tab3,3,FALSE))</definedName>
    <definedName name="OpTatA">IF('Tables'!$H1="","",VLOOKUP('Tables'!$H1,'Tab'!FordMatA,3,FALSE))</definedName>
    <definedName name="Place">VLOOKUP('RegList'!IS1,'Tab'!$A$36:$BL$69,'RegList'!C1,FALSE)</definedName>
    <definedName name="_xlnm.Print_Area" localSheetId="1">'RegList'!$A$1:$D$1</definedName>
    <definedName name="_xlnm.Print_Titles" localSheetId="1">'RegList'!$1:$1</definedName>
    <definedName name="RangeData" localSheetId="7">'[2]Tables'!$H$3:$H$36,'[2]Tables'!$M$3:$M$36,'[2]Tables'!$R$3:$R$36</definedName>
    <definedName name="RangeData">'Tables'!$H$3:$H$36,'Tables'!$M$3:$M$36,'Tables'!$R$3:$R$36</definedName>
    <definedName name="Reg">'HjArk'!$A$1</definedName>
    <definedName name="Result1">'HjArk'!$F$52</definedName>
    <definedName name="Result2">'HjArk'!$F$53</definedName>
    <definedName name="Result3">'HjArk'!$F$54</definedName>
    <definedName name="SeededMulig">'HjHoved'!$O$15</definedName>
    <definedName name="SemiFTatA">IF('Tables'!$H1="","",VLOOKUP('Tables'!$H1,'Tab'!FordMatA,4,FALSE))</definedName>
    <definedName name="StartBrA">'HjArk'!$R$4</definedName>
    <definedName name="StartBrB">'HjArk'!$R$5</definedName>
    <definedName name="StartBrC">'HjArk'!$R$6</definedName>
    <definedName name="StartData">'HjArk'!$A$1</definedName>
    <definedName name="StartNoA">'HjArk'!$F$44</definedName>
    <definedName name="StartTatA">'HjArk'!$Q$4</definedName>
    <definedName name="StartTatB">'HjArk'!$Q$5</definedName>
    <definedName name="StartTatC">'HjArk'!$Q$6</definedName>
    <definedName name="StartTid">'TimeScedule'!$D$3</definedName>
    <definedName name="StevneNavn">'HjArk'!$F$86</definedName>
    <definedName name="Tab1">'Tab'!$A$2:$BL$33</definedName>
    <definedName name="Tab2">'HjArk'!$A$4:$B$37</definedName>
    <definedName name="Tab2A">'HjArk'!$D$4:$D$37</definedName>
    <definedName name="Tab2B">'HjArk'!$B$4:$C$37</definedName>
    <definedName name="Tab3">'HjArk'!$A$42:$D$106</definedName>
    <definedName name="TabA209">'Tab'!$A$144:$BM$176</definedName>
    <definedName name="TabB4">'HjArk'!$B$4:$J$37</definedName>
    <definedName name="TabMatteA">'HjArk'!$B$109:$C$153</definedName>
    <definedName name="TabOppsett">'Tables'!$A$3:$F$12</definedName>
    <definedName name="TabPoeng">'HjArk'!$I$41:$J$46</definedName>
    <definedName name="TabSeeding">'Tab'!$X$105:$AB$136</definedName>
    <definedName name="TabSeeding1">'HjArk'!$E$134:$F$142</definedName>
    <definedName name="TabSeeding2">'HjArk'!$E$134:$G$142</definedName>
    <definedName name="terminliste_pameldte_nedlastning.php?REF_Stevne_iD_5002" localSheetId="1">'RegList'!#REF!</definedName>
    <definedName name="terminliste_pameldte_nedlastning.php?REF_Stevne_iD_5002_1" localSheetId="1">'RegList'!#REF!</definedName>
    <definedName name="terminliste_pameldte_nedlastning.php?REF_Stevne_iD_5002_2" localSheetId="1">'RegList'!#REF!</definedName>
    <definedName name="terminliste_pameldte_nedlastning.php?REF_Stevne_iD_5002_3" localSheetId="1">'RegList'!#REF!</definedName>
    <definedName name="terminliste_pameldte_nedlastning.php?REF_Stevne_iD_5002_4" localSheetId="1">'RegList'!#REF!</definedName>
    <definedName name="terminliste_pameldte_nedlastning.php?REF_Stevne_iD_5002_5" localSheetId="1">'RegList'!#REF!</definedName>
    <definedName name="terminliste_pameldte_nedlastning.php?REF_Stevne_iD_5088" localSheetId="1">'RegList'!#REF!</definedName>
    <definedName name="terminliste_pameldte_nedlastning.php?REF_Stevne_iD_5088_1" localSheetId="1">'RegList'!#REF!</definedName>
    <definedName name="terminliste_pameldte_nedlastning.php?REF_Stevne_iD_5283" localSheetId="1">'RegList'!#REF!</definedName>
    <definedName name="terminliste_pameldte_nedlastning.php?REF_Stevne_iD_5283_1" localSheetId="1">'RegList'!#REF!</definedName>
    <definedName name="terminliste_pameldte_nedlastning.php?REF_Stevne_iD_5326" localSheetId="1">'RegList'!#REF!</definedName>
    <definedName name="terminliste_pameldte_nedlastning.php?REF_Stevne_iD_5330" localSheetId="1">'RegList'!#REF!</definedName>
    <definedName name="terminliste_pameldte_nedlastning.php?REF_Stevne_iD_5334" localSheetId="5">'HjHoved'!$Q$1:$S$36</definedName>
    <definedName name="terminliste_pameldte_nedlastning.php?REF_Stevne_iD_5334" localSheetId="1">'RegList'!#REF!</definedName>
    <definedName name="terminliste_pameldte_nedlastning.php?REF_Stevne_iD_5334_1" localSheetId="5">'HjHoved'!$Q$1:$S$36</definedName>
    <definedName name="terminliste_pameldte_nedlastning.php?REF_Stevne_iD_5334_1" localSheetId="1">'RegList'!#REF!</definedName>
    <definedName name="terminliste_pameldte_nedlastning.php?REF_Stevne_iD_5334_2" localSheetId="5">'HjHoved'!$Q$1:$S$36</definedName>
    <definedName name="terminliste_pameldte_nedlastning.php?REF_Stevne_iD_5334_3" localSheetId="5">'HjHoved'!$Q$1:$S$36</definedName>
    <definedName name="terminliste_pameldte_nedlastning.php?REF_Stevne_iD_5334_4" localSheetId="5">'HjHoved'!$Q$1:$S$36</definedName>
    <definedName name="terminliste_pameldte_nedlastning.php?REF_Stevne_iD_5334_5" localSheetId="5">'HjHoved'!$Q$1:$S$36</definedName>
    <definedName name="terminliste_pameldte_nedlastning.php?REF_Stevne_iD_5334_6" localSheetId="5">'HjHoved'!$Q$1:$S$36</definedName>
    <definedName name="terminliste_pameldte_nedlastning.php?REF_Stevne_iD_5391" localSheetId="1">'RegList'!#REF!</definedName>
    <definedName name="terminliste_pameldte_nedlastning.php?REF_Stevne_iD_5391_1" localSheetId="1">'RegList'!#REF!</definedName>
    <definedName name="terminliste_pameldte_nedlastning_innveid.php?REF_Stevne_iD_5391" localSheetId="1">'RegList'!#REF!</definedName>
    <definedName name="terminliste_pameldte_nedlastning_innveid.php?REF_Stevne_iD_5459" localSheetId="1">'RegList'!#REF!</definedName>
    <definedName name="terminliste_pameldte_nedlastning_innveid.php?REF_Stevne_iD_5459_1" localSheetId="1">'RegList'!#REF!</definedName>
    <definedName name="terminliste_pameldte_nedlastning_innveid.php?REF_Stevne_iD_5459_2" localSheetId="1">'RegList'!#REF!</definedName>
    <definedName name="terminliste_pameldte_nedlastning_innveid.php?REF_Stevne_iD_5459_3" localSheetId="1">'RegList'!#REF!</definedName>
    <definedName name="terminliste_pameldte_nedlastning_innveid.php?REF_Stevne_iD_5540" localSheetId="1">'RegList'!#REF!</definedName>
    <definedName name="terminliste_pameldte_nedlastning_innveid.php?REF_Stevne_iD_5540_1" localSheetId="1">'RegList'!$A$2:$C$46</definedName>
    <definedName name="Test1">'HjArk'!$F$78</definedName>
    <definedName name="TestReg">'HjArk'!$F$56</definedName>
    <definedName name="Time">'HjArk'!$F$159:$I$239</definedName>
    <definedName name="TimeNow">'TimeScedule'!$D$37</definedName>
    <definedName name="TotFinaler">'Tables'!$G$42</definedName>
    <definedName name="WeightClass" localSheetId="0">'Tables'!$A$3:$A$23</definedName>
    <definedName name="WeightClass">'Tables'!$A$3:$A$14</definedName>
  </definedNames>
  <calcPr fullCalcOnLoad="1"/>
</workbook>
</file>

<file path=xl/sharedStrings.xml><?xml version="1.0" encoding="utf-8"?>
<sst xmlns="http://schemas.openxmlformats.org/spreadsheetml/2006/main" count="3246" uniqueCount="328">
  <si>
    <t>Weight</t>
  </si>
  <si>
    <t>NAME</t>
  </si>
  <si>
    <t>CLUB</t>
  </si>
  <si>
    <t>Tatami</t>
  </si>
  <si>
    <t>Place in pyramid</t>
  </si>
  <si>
    <t>A</t>
  </si>
  <si>
    <t>C5</t>
  </si>
  <si>
    <t>C7</t>
  </si>
  <si>
    <t>C45</t>
  </si>
  <si>
    <t>C47</t>
  </si>
  <si>
    <t>U5</t>
  </si>
  <si>
    <t>U7</t>
  </si>
  <si>
    <t>E13</t>
  </si>
  <si>
    <t>E31</t>
  </si>
  <si>
    <t>E33</t>
  </si>
  <si>
    <t>E53</t>
  </si>
  <si>
    <t>E71</t>
  </si>
  <si>
    <t>E73</t>
  </si>
  <si>
    <t>S13</t>
  </si>
  <si>
    <t>S31</t>
  </si>
  <si>
    <t>S33</t>
  </si>
  <si>
    <t>S51</t>
  </si>
  <si>
    <t>S53</t>
  </si>
  <si>
    <t>S71</t>
  </si>
  <si>
    <t>S73</t>
  </si>
  <si>
    <t>B</t>
  </si>
  <si>
    <t>E51</t>
  </si>
  <si>
    <t>C</t>
  </si>
  <si>
    <t>S11</t>
  </si>
  <si>
    <t>E11</t>
  </si>
  <si>
    <t>G60</t>
  </si>
  <si>
    <t>G22</t>
  </si>
  <si>
    <t>Q22</t>
  </si>
  <si>
    <t>G62</t>
  </si>
  <si>
    <t>Q60</t>
  </si>
  <si>
    <t>Q62</t>
  </si>
  <si>
    <t>G20</t>
  </si>
  <si>
    <t>Q20</t>
  </si>
  <si>
    <t>O42</t>
  </si>
  <si>
    <t>I42</t>
  </si>
  <si>
    <t>O40</t>
  </si>
  <si>
    <t>I40</t>
  </si>
  <si>
    <t>L33</t>
  </si>
  <si>
    <t>L31</t>
  </si>
  <si>
    <t>Fight No</t>
  </si>
  <si>
    <t>U45</t>
  </si>
  <si>
    <t>U47</t>
  </si>
  <si>
    <t>TATAMI A</t>
  </si>
  <si>
    <t>Fight No.</t>
  </si>
  <si>
    <t>Name Red corner</t>
  </si>
  <si>
    <t>Club /Country</t>
  </si>
  <si>
    <t>v</t>
  </si>
  <si>
    <t>Name Blue Corner</t>
  </si>
  <si>
    <t>Points</t>
  </si>
  <si>
    <t>Finales</t>
  </si>
  <si>
    <t>-</t>
  </si>
  <si>
    <t>Bronze</t>
  </si>
  <si>
    <t>Finale</t>
  </si>
  <si>
    <t>Weight Class:</t>
  </si>
  <si>
    <t>Competitors:</t>
  </si>
  <si>
    <t>Tab3</t>
  </si>
  <si>
    <t>Tab2</t>
  </si>
  <si>
    <t>FASTE TALL</t>
  </si>
  <si>
    <t>Alle Vektklasser</t>
  </si>
  <si>
    <t>Utøvere</t>
  </si>
  <si>
    <t>Innledende</t>
  </si>
  <si>
    <t>Semi</t>
  </si>
  <si>
    <t>Bronse</t>
  </si>
  <si>
    <t>Start Time</t>
  </si>
  <si>
    <t>End Time</t>
  </si>
  <si>
    <t>Calculated event duration</t>
  </si>
  <si>
    <t>h</t>
  </si>
  <si>
    <t>Number of rounds opening matches</t>
  </si>
  <si>
    <t>Number of rounds bronze finale</t>
  </si>
  <si>
    <t>Number of rounds Finale matches</t>
  </si>
  <si>
    <t>Round Time opening rounds</t>
  </si>
  <si>
    <t>Total time each macth, Opening rounds</t>
  </si>
  <si>
    <t>Min</t>
  </si>
  <si>
    <t>Round Time Bronze Finale</t>
  </si>
  <si>
    <t>Total time each match, Bronze finales</t>
  </si>
  <si>
    <t>Round Time Finales</t>
  </si>
  <si>
    <t>Total time each match, Finales</t>
  </si>
  <si>
    <t>Pause between rounds</t>
  </si>
  <si>
    <t>Pause between matches</t>
  </si>
  <si>
    <t>Starttime  opening rounds</t>
  </si>
  <si>
    <t>Pause after opening rounds</t>
  </si>
  <si>
    <t>Estimated endtime opening rounds</t>
  </si>
  <si>
    <t>Estimated starttime Bronze Finales</t>
  </si>
  <si>
    <t>Pause after Bronze Finales</t>
  </si>
  <si>
    <t>Estimated endtime Bronze Finales</t>
  </si>
  <si>
    <t>Time Now</t>
  </si>
  <si>
    <t>Estimated starttime Finales</t>
  </si>
  <si>
    <t>Estimated endtime Finales</t>
  </si>
  <si>
    <t>You should use the hour format "hh:mm:ss" when writing time values</t>
  </si>
  <si>
    <t>One minute types like this:  00:01:00</t>
  </si>
  <si>
    <t>30 seconds types like this:  00:00:30</t>
  </si>
  <si>
    <t>One houer types like this:    01:00:00</t>
  </si>
  <si>
    <r>
      <t xml:space="preserve">Type values in cells with </t>
    </r>
    <r>
      <rPr>
        <b/>
        <sz val="16"/>
        <color indexed="10"/>
        <rFont val="Arial"/>
        <family val="2"/>
      </rPr>
      <t>red</t>
    </r>
    <r>
      <rPr>
        <b/>
        <sz val="16"/>
        <color indexed="18"/>
        <rFont val="Arial"/>
        <family val="2"/>
      </rPr>
      <t xml:space="preserve"> text</t>
    </r>
  </si>
  <si>
    <t>Tab1</t>
  </si>
  <si>
    <t>TabSeeding</t>
  </si>
  <si>
    <t>Fordeling Matte A</t>
  </si>
  <si>
    <t>Fordeling Matte B</t>
  </si>
  <si>
    <t>Fordeling Matte C</t>
  </si>
  <si>
    <t>E72</t>
  </si>
  <si>
    <t>TATAMI B</t>
  </si>
  <si>
    <t>TATAMI C</t>
  </si>
  <si>
    <t>WEIGHT</t>
  </si>
  <si>
    <t>COMPITE- TORS</t>
  </si>
  <si>
    <t>OPENING FIGHTS</t>
  </si>
  <si>
    <t>BRONZE FINALES</t>
  </si>
  <si>
    <t>TATAMI A/B/C</t>
  </si>
  <si>
    <t>OPENING FROM - TO</t>
  </si>
  <si>
    <t>SEMIFINAL FROM - TO</t>
  </si>
  <si>
    <t>BRONZE</t>
  </si>
  <si>
    <t>TOTAL</t>
  </si>
  <si>
    <t>Red corner</t>
  </si>
  <si>
    <t>Blue Corner</t>
  </si>
  <si>
    <t>Mach No</t>
  </si>
  <si>
    <t>Red Corner</t>
  </si>
  <si>
    <t>MatteFordeling</t>
  </si>
  <si>
    <t>Tab2A</t>
  </si>
  <si>
    <t>SEMI FINALES</t>
  </si>
  <si>
    <t>Antall Vektklasser TatA</t>
  </si>
  <si>
    <t>Antall Vektklasser TatB</t>
  </si>
  <si>
    <t>Antall Vektklasser TatC</t>
  </si>
  <si>
    <t>Matte A</t>
  </si>
  <si>
    <t>StartNoA</t>
  </si>
  <si>
    <t>C16</t>
  </si>
  <si>
    <t>C18</t>
  </si>
  <si>
    <t>C27</t>
  </si>
  <si>
    <t>C36</t>
  </si>
  <si>
    <t>C38</t>
  </si>
  <si>
    <t>C56</t>
  </si>
  <si>
    <t>C58</t>
  </si>
  <si>
    <t>C65</t>
  </si>
  <si>
    <t>C67</t>
  </si>
  <si>
    <t>C76</t>
  </si>
  <si>
    <t>C78</t>
  </si>
  <si>
    <t>U16</t>
  </si>
  <si>
    <t>U18</t>
  </si>
  <si>
    <t>U27</t>
  </si>
  <si>
    <t>U36</t>
  </si>
  <si>
    <t>U38</t>
  </si>
  <si>
    <t>U56</t>
  </si>
  <si>
    <t>U58</t>
  </si>
  <si>
    <t>U65</t>
  </si>
  <si>
    <t>U67</t>
  </si>
  <si>
    <t>U76</t>
  </si>
  <si>
    <t>U78</t>
  </si>
  <si>
    <t>L49</t>
  </si>
  <si>
    <t>L51</t>
  </si>
  <si>
    <t/>
  </si>
  <si>
    <t xml:space="preserve">Opening </t>
  </si>
  <si>
    <t>Final</t>
  </si>
  <si>
    <r>
      <t>Tabell for å finne riktig kampnummer (</t>
    </r>
    <r>
      <rPr>
        <sz val="10"/>
        <color indexed="10"/>
        <rFont val="Arial"/>
        <family val="2"/>
      </rPr>
      <t>TabA209</t>
    </r>
    <r>
      <rPr>
        <sz val="10"/>
        <rFont val="Arial"/>
        <family val="0"/>
      </rPr>
      <t>)</t>
    </r>
  </si>
  <si>
    <t>I</t>
  </si>
  <si>
    <t>J</t>
  </si>
  <si>
    <t>K</t>
  </si>
  <si>
    <t>Plassering av poeng i RegList</t>
  </si>
  <si>
    <t>Kolonne</t>
  </si>
  <si>
    <t>L</t>
  </si>
  <si>
    <t>M</t>
  </si>
  <si>
    <t>CheckTall1</t>
  </si>
  <si>
    <t>CheckTall2</t>
  </si>
  <si>
    <t>Result1</t>
  </si>
  <si>
    <t>Result2</t>
  </si>
  <si>
    <t>Result3</t>
  </si>
  <si>
    <t>Blue corner</t>
  </si>
  <si>
    <t>SUM OPENING</t>
  </si>
  <si>
    <t>Innled</t>
  </si>
  <si>
    <t>Time</t>
  </si>
  <si>
    <t>TestReg</t>
  </si>
  <si>
    <t>AktVektKl</t>
  </si>
  <si>
    <t>E</t>
  </si>
  <si>
    <t>G</t>
  </si>
  <si>
    <t>O</t>
  </si>
  <si>
    <t>Q</t>
  </si>
  <si>
    <t>S</t>
  </si>
  <si>
    <t>U</t>
  </si>
  <si>
    <t>Ch_Bronze</t>
  </si>
  <si>
    <t>Tab4</t>
  </si>
  <si>
    <t>Minute</t>
  </si>
  <si>
    <t xml:space="preserve">  </t>
  </si>
  <si>
    <t>KontrollHoved</t>
  </si>
  <si>
    <t>Finalenummer</t>
  </si>
  <si>
    <t>BronzeNr</t>
  </si>
  <si>
    <t>N</t>
  </si>
  <si>
    <t>LstA_Value</t>
  </si>
  <si>
    <t>LstB_Value</t>
  </si>
  <si>
    <t>LstC_Value</t>
  </si>
  <si>
    <t>Risør Kickboxing klubb</t>
  </si>
  <si>
    <t>Bjørnar Fianbakken</t>
  </si>
  <si>
    <t>Sentrum Kickboxing Klubb</t>
  </si>
  <si>
    <t>Stjørdal Kickboxingklubb</t>
  </si>
  <si>
    <t>C25</t>
  </si>
  <si>
    <t>U25</t>
  </si>
  <si>
    <t>Test1</t>
  </si>
  <si>
    <t>Number in turnement</t>
  </si>
  <si>
    <t>AktBok</t>
  </si>
  <si>
    <t>AntList</t>
  </si>
  <si>
    <t>MakesLists</t>
  </si>
  <si>
    <t>StevneNavn</t>
  </si>
  <si>
    <t>Fighter Kickboksingklubb</t>
  </si>
  <si>
    <t>Kragerø Kickboxing Klubb</t>
  </si>
  <si>
    <t>Larvik Kampsportklubb</t>
  </si>
  <si>
    <t>Sentrum Kampsport Senter</t>
  </si>
  <si>
    <t>H+89KG</t>
  </si>
  <si>
    <t>Kenneth Westberg</t>
  </si>
  <si>
    <t>Kim Atle Noren</t>
  </si>
  <si>
    <t>Ole Jørgen Berg</t>
  </si>
  <si>
    <t>Pål Skaufjord</t>
  </si>
  <si>
    <t>Stig Kasper</t>
  </si>
  <si>
    <t>Tek Tan</t>
  </si>
  <si>
    <t>Erik Johannessen</t>
  </si>
  <si>
    <t>Fredrik Sigve Tørrissen</t>
  </si>
  <si>
    <t>Samuel Hedlund</t>
  </si>
  <si>
    <t>Khuseyn Dresov</t>
  </si>
  <si>
    <t>Morgan Hovden</t>
  </si>
  <si>
    <t>Kamper Matte A</t>
  </si>
  <si>
    <t>Kamper Matte B</t>
  </si>
  <si>
    <t>Kamper Matte C</t>
  </si>
  <si>
    <t>Ant.Kamper</t>
  </si>
  <si>
    <t>Slutt-tid</t>
  </si>
  <si>
    <t>StartTid</t>
  </si>
  <si>
    <t>Bronzefinaler</t>
  </si>
  <si>
    <t>Opening Rounds</t>
  </si>
  <si>
    <t>Bronze A</t>
  </si>
  <si>
    <t>JH-63KG</t>
  </si>
  <si>
    <t>Daniel Rye</t>
  </si>
  <si>
    <t>Aktiv Kickboxingklubb</t>
  </si>
  <si>
    <t>H-75KG</t>
  </si>
  <si>
    <t>Kristoffer Gudmundsen</t>
  </si>
  <si>
    <t>H-85KG</t>
  </si>
  <si>
    <t>Ole Andreas Jacobsen</t>
  </si>
  <si>
    <t>Arendal Kickboxingklubb</t>
  </si>
  <si>
    <t>D+62KG</t>
  </si>
  <si>
    <t>Mai Elisabeth Nordahl</t>
  </si>
  <si>
    <t>Bergen Kickboxingklubb</t>
  </si>
  <si>
    <t>may helen befring</t>
  </si>
  <si>
    <t>D-55KG</t>
  </si>
  <si>
    <t>Monica Engeset</t>
  </si>
  <si>
    <t>JH-57KG</t>
  </si>
  <si>
    <t>Joakim Ellingsen</t>
  </si>
  <si>
    <t>Johan Hjelmervik</t>
  </si>
  <si>
    <t>kristoffer c eikeland</t>
  </si>
  <si>
    <t>magnus johannesen</t>
  </si>
  <si>
    <t>H+85KG</t>
  </si>
  <si>
    <t>Stig Hugo Klementsen</t>
  </si>
  <si>
    <t>Håkon Iversen</t>
  </si>
  <si>
    <t>Bergen Vest Kampsportklubb</t>
  </si>
  <si>
    <t>D-62KG</t>
  </si>
  <si>
    <t>Charlotte Berg Andersen</t>
  </si>
  <si>
    <t>Bergenhus Kampsportklubb</t>
  </si>
  <si>
    <t>JD-57KG</t>
  </si>
  <si>
    <t>Nicole Leonarda Khandji</t>
  </si>
  <si>
    <t>JH+63KG</t>
  </si>
  <si>
    <t>Tom Einar Røed</t>
  </si>
  <si>
    <t>Christer Finsand</t>
  </si>
  <si>
    <t>Drammen Kickboxingklubb</t>
  </si>
  <si>
    <t>Thor Asgeir Kåmmbækk Haug</t>
  </si>
  <si>
    <t>Hans Martin Teigen Hansen</t>
  </si>
  <si>
    <t>Angel Ruiz</t>
  </si>
  <si>
    <t>Ida Abrahamsen</t>
  </si>
  <si>
    <t>Ina Grindheim</t>
  </si>
  <si>
    <t>Natalia Galvez</t>
  </si>
  <si>
    <t>Tirill Nanett Bjørnstad Næss</t>
  </si>
  <si>
    <t>Tom Eirik Steinsland</t>
  </si>
  <si>
    <t>Oskar Bostad Randen</t>
  </si>
  <si>
    <t>Cato Skjelbred Nilsen</t>
  </si>
  <si>
    <t>Horten Kickboxingklubb</t>
  </si>
  <si>
    <t>Fredrik Jacobsen</t>
  </si>
  <si>
    <t>William Bruun</t>
  </si>
  <si>
    <t>Ivar Freberg</t>
  </si>
  <si>
    <t>Nemet Rostam</t>
  </si>
  <si>
    <t>Andre Lund</t>
  </si>
  <si>
    <t>Sentrum Kampsportsenter</t>
  </si>
  <si>
    <t>Elend Selman</t>
  </si>
  <si>
    <t>Ida-Marie Skauge</t>
  </si>
  <si>
    <t>Per Oscar Wærnes</t>
  </si>
  <si>
    <t>Mathias Maxime Thoze</t>
  </si>
  <si>
    <t>Jane Catrine Ramsdal Anseth</t>
  </si>
  <si>
    <t>Skedsmo Kickboxingklubb</t>
  </si>
  <si>
    <t>Martin Kjærnet Haugen</t>
  </si>
  <si>
    <t>Tina Martinsen</t>
  </si>
  <si>
    <t>Astri Vikan Minsaas</t>
  </si>
  <si>
    <t>Ben Ronny Pettersen</t>
  </si>
  <si>
    <t>Olegs Sdobnikovs</t>
  </si>
  <si>
    <t>Tromsø Kickboxingklubb</t>
  </si>
  <si>
    <t>Hege Thidemann</t>
  </si>
  <si>
    <t>Verdal Kampsportklubb</t>
  </si>
  <si>
    <t>Margrete Indahl</t>
  </si>
  <si>
    <t>Mathias Støffringshaug</t>
  </si>
  <si>
    <t>Isabell Fjelde Ivanov</t>
  </si>
  <si>
    <t>Øverbygd Kickboxingklubb</t>
  </si>
  <si>
    <t>NC, SC - Bergen 2012</t>
  </si>
  <si>
    <t>Winner Fight No: 1</t>
  </si>
  <si>
    <t>Winner Fight No: 2</t>
  </si>
  <si>
    <t>Winner Fight No: 3</t>
  </si>
  <si>
    <t>Winner Fight No: 4</t>
  </si>
  <si>
    <t>Bronze Finale 1</t>
  </si>
  <si>
    <t>Looser Fight No: 5</t>
  </si>
  <si>
    <t>Looser Fight No: 6</t>
  </si>
  <si>
    <t>Finale 1</t>
  </si>
  <si>
    <t>Winner Fight No: 5</t>
  </si>
  <si>
    <t>Winner Fight No: 6</t>
  </si>
  <si>
    <t>Winner Fight No: 7</t>
  </si>
  <si>
    <t>Winner Fight No: 8</t>
  </si>
  <si>
    <t>Bronze Finale 2</t>
  </si>
  <si>
    <t>Looser Fight No: 9</t>
  </si>
  <si>
    <t>Looser Fight No: 10</t>
  </si>
  <si>
    <t>Finale 2</t>
  </si>
  <si>
    <t>Winner Fight No: 9</t>
  </si>
  <si>
    <t>Winner Fight No: 10</t>
  </si>
  <si>
    <t>Bronze Finale 3</t>
  </si>
  <si>
    <t>Looser Fight No: 11</t>
  </si>
  <si>
    <t>Looser Fight No: 12</t>
  </si>
  <si>
    <t>Finale 3</t>
  </si>
  <si>
    <t>Winner Fight No: 11</t>
  </si>
  <si>
    <t>Winner Fight No: 12</t>
  </si>
  <si>
    <t>Finale 4</t>
  </si>
  <si>
    <t>Finale 5</t>
  </si>
  <si>
    <t>Winner Fight No: 13</t>
  </si>
  <si>
    <t>SC_Innveid2.xls</t>
  </si>
  <si>
    <t>Looser Fight No: 8</t>
  </si>
  <si>
    <t xml:space="preserve">Bronze Finale </t>
  </si>
  <si>
    <t>No Finales</t>
  </si>
  <si>
    <t>Looser Fight No: 13</t>
  </si>
  <si>
    <t>AB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</si>
</sst>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F400]h:mm:ss\ AM/PM"/>
    <numFmt numFmtId="173" formatCode="hh:mm;@"/>
    <numFmt numFmtId="174" formatCode="[$-414]d\.\ mmmm\ yyyy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h:mm:ss;@"/>
  </numFmts>
  <fonts count="6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43"/>
      <name val="Arial"/>
      <family val="2"/>
    </font>
    <font>
      <b/>
      <sz val="14"/>
      <color indexed="10"/>
      <name val="Arial"/>
      <family val="2"/>
    </font>
    <font>
      <b/>
      <sz val="13"/>
      <color indexed="43"/>
      <name val="Arial"/>
      <family val="2"/>
    </font>
    <font>
      <b/>
      <sz val="14"/>
      <color indexed="55"/>
      <name val="Arial"/>
      <family val="2"/>
    </font>
    <font>
      <sz val="13"/>
      <name val="Arial"/>
      <family val="2"/>
    </font>
    <font>
      <sz val="10"/>
      <color indexed="55"/>
      <name val="Arial"/>
      <family val="2"/>
    </font>
    <font>
      <b/>
      <sz val="14"/>
      <color indexed="22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ck">
        <color indexed="10"/>
      </bottom>
    </border>
    <border>
      <left style="hair">
        <color indexed="1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hair">
        <color indexed="13"/>
      </top>
      <bottom style="thin">
        <color indexed="1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ck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33" borderId="0" xfId="0" applyFill="1" applyAlignment="1" applyProtection="1">
      <alignment/>
      <protection hidden="1"/>
    </xf>
    <xf numFmtId="20" fontId="0" fillId="33" borderId="0" xfId="0" applyNumberForma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20" fontId="0" fillId="34" borderId="0" xfId="0" applyNumberFormat="1" applyFill="1" applyAlignment="1" applyProtection="1">
      <alignment horizontal="center"/>
      <protection hidden="1"/>
    </xf>
    <xf numFmtId="21" fontId="0" fillId="34" borderId="0" xfId="0" applyNumberFormat="1" applyFill="1" applyAlignment="1" applyProtection="1">
      <alignment/>
      <protection hidden="1"/>
    </xf>
    <xf numFmtId="2" fontId="0" fillId="33" borderId="0" xfId="0" applyNumberFormat="1" applyFill="1" applyAlignment="1" applyProtection="1">
      <alignment horizontal="center"/>
      <protection hidden="1"/>
    </xf>
    <xf numFmtId="2" fontId="0" fillId="34" borderId="0" xfId="0" applyNumberFormat="1" applyFill="1" applyAlignment="1" applyProtection="1">
      <alignment horizontal="center"/>
      <protection hidden="1"/>
    </xf>
    <xf numFmtId="0" fontId="14" fillId="33" borderId="33" xfId="0" applyFont="1" applyFill="1" applyBorder="1" applyAlignment="1" applyProtection="1">
      <alignment horizontal="right"/>
      <protection hidden="1"/>
    </xf>
    <xf numFmtId="172" fontId="15" fillId="33" borderId="34" xfId="0" applyNumberFormat="1" applyFont="1" applyFill="1" applyBorder="1" applyAlignment="1" applyProtection="1">
      <alignment horizontal="right"/>
      <protection hidden="1"/>
    </xf>
    <xf numFmtId="20" fontId="15" fillId="33" borderId="34" xfId="0" applyNumberFormat="1" applyFont="1" applyFill="1" applyBorder="1" applyAlignment="1" applyProtection="1">
      <alignment horizontal="left"/>
      <protection hidden="1"/>
    </xf>
    <xf numFmtId="0" fontId="14" fillId="33" borderId="35" xfId="0" applyFont="1" applyFill="1" applyBorder="1" applyAlignment="1" applyProtection="1">
      <alignment horizontal="right"/>
      <protection hidden="1"/>
    </xf>
    <xf numFmtId="172" fontId="15" fillId="33" borderId="0" xfId="0" applyNumberFormat="1" applyFont="1" applyFill="1" applyBorder="1" applyAlignment="1" applyProtection="1">
      <alignment horizontal="right"/>
      <protection hidden="1"/>
    </xf>
    <xf numFmtId="20" fontId="15" fillId="33" borderId="0" xfId="0" applyNumberFormat="1" applyFont="1" applyFill="1" applyAlignment="1" applyProtection="1">
      <alignment horizontal="left"/>
      <protection hidden="1"/>
    </xf>
    <xf numFmtId="172" fontId="0" fillId="0" borderId="0" xfId="0" applyNumberFormat="1" applyAlignment="1" applyProtection="1">
      <alignment/>
      <protection hidden="1"/>
    </xf>
    <xf numFmtId="20" fontId="16" fillId="34" borderId="0" xfId="0" applyNumberFormat="1" applyFont="1" applyFill="1" applyAlignment="1" applyProtection="1">
      <alignment horizontal="center"/>
      <protection hidden="1"/>
    </xf>
    <xf numFmtId="20" fontId="17" fillId="34" borderId="0" xfId="0" applyNumberFormat="1" applyFont="1" applyFill="1" applyAlignment="1" applyProtection="1">
      <alignment horizontal="center"/>
      <protection hidden="1"/>
    </xf>
    <xf numFmtId="20" fontId="16" fillId="33" borderId="0" xfId="0" applyNumberFormat="1" applyFont="1" applyFill="1" applyAlignment="1" applyProtection="1">
      <alignment horizontal="center"/>
      <protection hidden="1"/>
    </xf>
    <xf numFmtId="0" fontId="17" fillId="33" borderId="0" xfId="0" applyFont="1" applyFill="1" applyAlignment="1" applyProtection="1">
      <alignment/>
      <protection hidden="1"/>
    </xf>
    <xf numFmtId="20" fontId="0" fillId="0" borderId="0" xfId="0" applyNumberFormat="1" applyAlignment="1" applyProtection="1">
      <alignment horizontal="center"/>
      <protection hidden="1"/>
    </xf>
    <xf numFmtId="20" fontId="16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/>
      <protection hidden="1"/>
    </xf>
    <xf numFmtId="0" fontId="14" fillId="33" borderId="36" xfId="0" applyFont="1" applyFill="1" applyBorder="1" applyAlignment="1" applyProtection="1">
      <alignment horizontal="right"/>
      <protection hidden="1"/>
    </xf>
    <xf numFmtId="1" fontId="13" fillId="33" borderId="34" xfId="0" applyNumberFormat="1" applyFont="1" applyFill="1" applyBorder="1" applyAlignment="1" applyProtection="1">
      <alignment horizontal="center"/>
      <protection locked="0"/>
    </xf>
    <xf numFmtId="20" fontId="15" fillId="33" borderId="0" xfId="0" applyNumberFormat="1" applyFont="1" applyFill="1" applyBorder="1" applyAlignment="1" applyProtection="1">
      <alignment horizontal="left"/>
      <protection hidden="1"/>
    </xf>
    <xf numFmtId="0" fontId="14" fillId="33" borderId="37" xfId="0" applyFont="1" applyFill="1" applyBorder="1" applyAlignment="1" applyProtection="1">
      <alignment horizontal="right"/>
      <protection hidden="1"/>
    </xf>
    <xf numFmtId="0" fontId="14" fillId="33" borderId="38" xfId="0" applyFont="1" applyFill="1" applyBorder="1" applyAlignment="1" applyProtection="1">
      <alignment horizontal="right"/>
      <protection hidden="1"/>
    </xf>
    <xf numFmtId="1" fontId="13" fillId="33" borderId="39" xfId="0" applyNumberFormat="1" applyFont="1" applyFill="1" applyBorder="1" applyAlignment="1" applyProtection="1">
      <alignment horizontal="center"/>
      <protection locked="0"/>
    </xf>
    <xf numFmtId="172" fontId="15" fillId="33" borderId="40" xfId="0" applyNumberFormat="1" applyFont="1" applyFill="1" applyBorder="1" applyAlignment="1" applyProtection="1">
      <alignment horizontal="right"/>
      <protection hidden="1"/>
    </xf>
    <xf numFmtId="20" fontId="15" fillId="33" borderId="40" xfId="0" applyNumberFormat="1" applyFont="1" applyFill="1" applyBorder="1" applyAlignment="1" applyProtection="1">
      <alignment horizontal="left"/>
      <protection hidden="1"/>
    </xf>
    <xf numFmtId="172" fontId="13" fillId="33" borderId="34" xfId="0" applyNumberFormat="1" applyFont="1" applyFill="1" applyBorder="1" applyAlignment="1" applyProtection="1">
      <alignment horizontal="center"/>
      <protection locked="0"/>
    </xf>
    <xf numFmtId="172" fontId="13" fillId="33" borderId="41" xfId="0" applyNumberFormat="1" applyFont="1" applyFill="1" applyBorder="1" applyAlignment="1" applyProtection="1">
      <alignment horizontal="center"/>
      <protection locked="0"/>
    </xf>
    <xf numFmtId="172" fontId="15" fillId="33" borderId="41" xfId="0" applyNumberFormat="1" applyFont="1" applyFill="1" applyBorder="1" applyAlignment="1" applyProtection="1">
      <alignment horizontal="right"/>
      <protection hidden="1"/>
    </xf>
    <xf numFmtId="20" fontId="15" fillId="33" borderId="41" xfId="0" applyNumberFormat="1" applyFont="1" applyFill="1" applyBorder="1" applyAlignment="1" applyProtection="1">
      <alignment horizontal="left"/>
      <protection hidden="1"/>
    </xf>
    <xf numFmtId="0" fontId="14" fillId="33" borderId="42" xfId="0" applyFont="1" applyFill="1" applyBorder="1" applyAlignment="1" applyProtection="1">
      <alignment horizontal="right"/>
      <protection hidden="1"/>
    </xf>
    <xf numFmtId="172" fontId="13" fillId="33" borderId="39" xfId="0" applyNumberFormat="1" applyFont="1" applyFill="1" applyBorder="1" applyAlignment="1" applyProtection="1">
      <alignment horizontal="center"/>
      <protection locked="0"/>
    </xf>
    <xf numFmtId="172" fontId="15" fillId="33" borderId="39" xfId="0" applyNumberFormat="1" applyFont="1" applyFill="1" applyBorder="1" applyAlignment="1" applyProtection="1">
      <alignment horizontal="right"/>
      <protection hidden="1"/>
    </xf>
    <xf numFmtId="20" fontId="15" fillId="33" borderId="39" xfId="0" applyNumberFormat="1" applyFont="1" applyFill="1" applyBorder="1" applyAlignment="1" applyProtection="1">
      <alignment horizontal="left"/>
      <protection hidden="1"/>
    </xf>
    <xf numFmtId="172" fontId="13" fillId="33" borderId="0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20" fontId="0" fillId="0" borderId="0" xfId="0" applyNumberForma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0" fontId="14" fillId="33" borderId="43" xfId="0" applyFont="1" applyFill="1" applyBorder="1" applyAlignment="1" applyProtection="1">
      <alignment horizontal="right"/>
      <protection hidden="1"/>
    </xf>
    <xf numFmtId="172" fontId="18" fillId="33" borderId="34" xfId="0" applyNumberFormat="1" applyFont="1" applyFill="1" applyBorder="1" applyAlignment="1" applyProtection="1">
      <alignment horizontal="center"/>
      <protection hidden="1"/>
    </xf>
    <xf numFmtId="0" fontId="14" fillId="33" borderId="44" xfId="0" applyFont="1" applyFill="1" applyBorder="1" applyAlignment="1" applyProtection="1">
      <alignment horizontal="right"/>
      <protection hidden="1"/>
    </xf>
    <xf numFmtId="20" fontId="15" fillId="33" borderId="45" xfId="0" applyNumberFormat="1" applyFont="1" applyFill="1" applyBorder="1" applyAlignment="1" applyProtection="1">
      <alignment horizontal="left"/>
      <protection hidden="1"/>
    </xf>
    <xf numFmtId="20" fontId="16" fillId="34" borderId="0" xfId="0" applyNumberFormat="1" applyFont="1" applyFill="1" applyAlignment="1" applyProtection="1">
      <alignment horizontal="right"/>
      <protection hidden="1"/>
    </xf>
    <xf numFmtId="20" fontId="0" fillId="34" borderId="0" xfId="0" applyNumberFormat="1" applyFill="1" applyAlignment="1" applyProtection="1">
      <alignment horizontal="right"/>
      <protection hidden="1"/>
    </xf>
    <xf numFmtId="20" fontId="16" fillId="33" borderId="0" xfId="0" applyNumberFormat="1" applyFon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20" fontId="16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6" fillId="33" borderId="0" xfId="0" applyFont="1" applyFill="1" applyAlignment="1" applyProtection="1">
      <alignment horizontal="right"/>
      <protection hidden="1"/>
    </xf>
    <xf numFmtId="0" fontId="16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right"/>
      <protection hidden="1"/>
    </xf>
    <xf numFmtId="172" fontId="13" fillId="33" borderId="34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21" fontId="0" fillId="0" borderId="0" xfId="0" applyNumberFormat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" fontId="0" fillId="0" borderId="19" xfId="0" applyNumberForma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2" fontId="0" fillId="0" borderId="25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35" borderId="51" xfId="0" applyFill="1" applyBorder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35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1" fontId="0" fillId="0" borderId="50" xfId="0" applyNumberFormat="1" applyBorder="1" applyAlignment="1" applyProtection="1">
      <alignment/>
      <protection hidden="1"/>
    </xf>
    <xf numFmtId="1" fontId="0" fillId="0" borderId="25" xfId="0" applyNumberFormat="1" applyBorder="1" applyAlignment="1" applyProtection="1">
      <alignment/>
      <protection hidden="1"/>
    </xf>
    <xf numFmtId="1" fontId="0" fillId="0" borderId="51" xfId="0" applyNumberFormat="1" applyBorder="1" applyAlignment="1" applyProtection="1">
      <alignment/>
      <protection hidden="1"/>
    </xf>
    <xf numFmtId="1" fontId="0" fillId="0" borderId="26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52" xfId="0" applyNumberFormat="1" applyFill="1" applyBorder="1" applyAlignment="1" applyProtection="1">
      <alignment/>
      <protection hidden="1"/>
    </xf>
    <xf numFmtId="1" fontId="0" fillId="0" borderId="25" xfId="0" applyNumberFormat="1" applyFill="1" applyBorder="1" applyAlignment="1" applyProtection="1">
      <alignment/>
      <protection hidden="1"/>
    </xf>
    <xf numFmtId="1" fontId="0" fillId="0" borderId="58" xfId="0" applyNumberFormat="1" applyBorder="1" applyAlignment="1" applyProtection="1">
      <alignment/>
      <protection hidden="1"/>
    </xf>
    <xf numFmtId="1" fontId="0" fillId="0" borderId="30" xfId="0" applyNumberFormat="1" applyBorder="1" applyAlignment="1" applyProtection="1">
      <alignment/>
      <protection hidden="1"/>
    </xf>
    <xf numFmtId="1" fontId="0" fillId="0" borderId="54" xfId="0" applyNumberFormat="1" applyBorder="1" applyAlignment="1" applyProtection="1">
      <alignment/>
      <protection hidden="1"/>
    </xf>
    <xf numFmtId="1" fontId="0" fillId="0" borderId="31" xfId="0" applyNumberFormat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36" borderId="59" xfId="0" applyFill="1" applyBorder="1" applyAlignment="1" applyProtection="1">
      <alignment/>
      <protection hidden="1"/>
    </xf>
    <xf numFmtId="0" fontId="0" fillId="36" borderId="60" xfId="0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 horizontal="center"/>
      <protection hidden="1"/>
    </xf>
    <xf numFmtId="0" fontId="0" fillId="36" borderId="62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63" xfId="0" applyFill="1" applyBorder="1" applyAlignment="1" applyProtection="1">
      <alignment/>
      <protection hidden="1"/>
    </xf>
    <xf numFmtId="0" fontId="0" fillId="36" borderId="64" xfId="0" applyFill="1" applyBorder="1" applyAlignment="1" applyProtection="1">
      <alignment horizontal="center"/>
      <protection hidden="1"/>
    </xf>
    <xf numFmtId="0" fontId="0" fillId="36" borderId="52" xfId="0" applyFill="1" applyBorder="1" applyAlignment="1" applyProtection="1">
      <alignment horizontal="center"/>
      <protection hidden="1"/>
    </xf>
    <xf numFmtId="0" fontId="0" fillId="36" borderId="65" xfId="0" applyFill="1" applyBorder="1" applyAlignment="1" applyProtection="1">
      <alignment/>
      <protection hidden="1"/>
    </xf>
    <xf numFmtId="0" fontId="0" fillId="36" borderId="66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63" xfId="0" applyFill="1" applyBorder="1" applyAlignment="1" applyProtection="1">
      <alignment horizontal="center"/>
      <protection hidden="1"/>
    </xf>
    <xf numFmtId="0" fontId="0" fillId="36" borderId="67" xfId="0" applyFill="1" applyBorder="1" applyAlignment="1" applyProtection="1">
      <alignment horizontal="center"/>
      <protection hidden="1"/>
    </xf>
    <xf numFmtId="0" fontId="0" fillId="36" borderId="68" xfId="0" applyFill="1" applyBorder="1" applyAlignment="1" applyProtection="1">
      <alignment horizontal="center"/>
      <protection hidden="1"/>
    </xf>
    <xf numFmtId="0" fontId="0" fillId="36" borderId="69" xfId="0" applyFill="1" applyBorder="1" applyAlignment="1" applyProtection="1">
      <alignment horizontal="center"/>
      <protection hidden="1"/>
    </xf>
    <xf numFmtId="0" fontId="0" fillId="36" borderId="70" xfId="0" applyFill="1" applyBorder="1" applyAlignment="1" applyProtection="1">
      <alignment/>
      <protection hidden="1"/>
    </xf>
    <xf numFmtId="0" fontId="0" fillId="36" borderId="71" xfId="0" applyFill="1" applyBorder="1" applyAlignment="1" applyProtection="1">
      <alignment/>
      <protection hidden="1"/>
    </xf>
    <xf numFmtId="0" fontId="0" fillId="36" borderId="32" xfId="0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0" fillId="36" borderId="28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1" fillId="33" borderId="0" xfId="0" applyFont="1" applyFill="1" applyAlignment="1" applyProtection="1">
      <alignment/>
      <protection hidden="1"/>
    </xf>
    <xf numFmtId="0" fontId="23" fillId="37" borderId="72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/>
      <protection hidden="1"/>
    </xf>
    <xf numFmtId="49" fontId="23" fillId="37" borderId="7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8" fillId="37" borderId="73" xfId="0" applyFont="1" applyFill="1" applyBorder="1" applyAlignment="1" applyProtection="1">
      <alignment horizontal="left"/>
      <protection hidden="1"/>
    </xf>
    <xf numFmtId="0" fontId="8" fillId="37" borderId="74" xfId="0" applyFont="1" applyFill="1" applyBorder="1" applyAlignment="1" applyProtection="1">
      <alignment horizontal="left"/>
      <protection hidden="1"/>
    </xf>
    <xf numFmtId="0" fontId="24" fillId="38" borderId="73" xfId="0" applyFont="1" applyFill="1" applyBorder="1" applyAlignment="1" applyProtection="1">
      <alignment/>
      <protection hidden="1"/>
    </xf>
    <xf numFmtId="0" fontId="24" fillId="38" borderId="74" xfId="0" applyFont="1" applyFill="1" applyBorder="1" applyAlignment="1" applyProtection="1">
      <alignment/>
      <protection hidden="1"/>
    </xf>
    <xf numFmtId="0" fontId="24" fillId="38" borderId="72" xfId="0" applyFont="1" applyFill="1" applyBorder="1" applyAlignment="1" applyProtection="1">
      <alignment horizontal="center"/>
      <protection hidden="1"/>
    </xf>
    <xf numFmtId="0" fontId="25" fillId="39" borderId="73" xfId="0" applyFont="1" applyFill="1" applyBorder="1" applyAlignment="1" applyProtection="1">
      <alignment/>
      <protection hidden="1"/>
    </xf>
    <xf numFmtId="0" fontId="25" fillId="39" borderId="74" xfId="0" applyFont="1" applyFill="1" applyBorder="1" applyAlignment="1" applyProtection="1">
      <alignment/>
      <protection hidden="1"/>
    </xf>
    <xf numFmtId="0" fontId="25" fillId="39" borderId="72" xfId="0" applyFont="1" applyFill="1" applyBorder="1" applyAlignment="1" applyProtection="1">
      <alignment horizontal="center"/>
      <protection hidden="1"/>
    </xf>
    <xf numFmtId="0" fontId="0" fillId="33" borderId="0" xfId="57" applyFill="1" applyBorder="1" applyAlignment="1" applyProtection="1">
      <alignment horizontal="center"/>
      <protection hidden="1"/>
    </xf>
    <xf numFmtId="0" fontId="0" fillId="0" borderId="0" xfId="57" applyFill="1" applyBorder="1" applyAlignment="1" applyProtection="1">
      <alignment horizontal="center"/>
      <protection hidden="1"/>
    </xf>
    <xf numFmtId="0" fontId="26" fillId="38" borderId="73" xfId="0" applyFont="1" applyFill="1" applyBorder="1" applyAlignment="1" applyProtection="1">
      <alignment/>
      <protection hidden="1"/>
    </xf>
    <xf numFmtId="0" fontId="26" fillId="38" borderId="74" xfId="0" applyFont="1" applyFill="1" applyBorder="1" applyAlignment="1" applyProtection="1">
      <alignment/>
      <protection hidden="1"/>
    </xf>
    <xf numFmtId="0" fontId="26" fillId="38" borderId="72" xfId="0" applyFont="1" applyFill="1" applyBorder="1" applyAlignment="1" applyProtection="1">
      <alignment horizontal="center"/>
      <protection hidden="1"/>
    </xf>
    <xf numFmtId="0" fontId="0" fillId="36" borderId="73" xfId="0" applyFont="1" applyFill="1" applyBorder="1" applyAlignment="1" applyProtection="1">
      <alignment/>
      <protection hidden="1"/>
    </xf>
    <xf numFmtId="0" fontId="0" fillId="36" borderId="74" xfId="0" applyFont="1" applyFill="1" applyBorder="1" applyAlignment="1" applyProtection="1">
      <alignment/>
      <protection hidden="1"/>
    </xf>
    <xf numFmtId="0" fontId="0" fillId="36" borderId="72" xfId="0" applyFont="1" applyFill="1" applyBorder="1" applyAlignment="1" applyProtection="1">
      <alignment horizontal="center"/>
      <protection hidden="1"/>
    </xf>
    <xf numFmtId="0" fontId="22" fillId="33" borderId="75" xfId="57" applyFont="1" applyFill="1" applyBorder="1" applyAlignment="1" applyProtection="1">
      <alignment horizontal="center"/>
      <protection hidden="1"/>
    </xf>
    <xf numFmtId="0" fontId="22" fillId="33" borderId="0" xfId="57" applyFont="1" applyFill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8" fillId="37" borderId="72" xfId="57" applyFont="1" applyFill="1" applyBorder="1" applyAlignment="1" applyProtection="1">
      <alignment horizontal="center" vertical="center" wrapText="1"/>
      <protection hidden="1"/>
    </xf>
    <xf numFmtId="0" fontId="0" fillId="33" borderId="0" xfId="57" applyFill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39" borderId="14" xfId="0" applyFill="1" applyBorder="1" applyAlignment="1" applyProtection="1">
      <alignment/>
      <protection hidden="1"/>
    </xf>
    <xf numFmtId="0" fontId="11" fillId="39" borderId="76" xfId="0" applyFont="1" applyFill="1" applyBorder="1" applyAlignment="1" applyProtection="1">
      <alignment horizontal="left"/>
      <protection hidden="1" locked="0"/>
    </xf>
    <xf numFmtId="0" fontId="0" fillId="39" borderId="76" xfId="0" applyFill="1" applyBorder="1" applyAlignment="1" applyProtection="1">
      <alignment/>
      <protection locked="0"/>
    </xf>
    <xf numFmtId="0" fontId="0" fillId="39" borderId="76" xfId="0" applyFill="1" applyBorder="1" applyAlignment="1" applyProtection="1">
      <alignment/>
      <protection hidden="1"/>
    </xf>
    <xf numFmtId="0" fontId="0" fillId="39" borderId="27" xfId="0" applyFill="1" applyBorder="1" applyAlignment="1" applyProtection="1">
      <alignment/>
      <protection hidden="1"/>
    </xf>
    <xf numFmtId="0" fontId="0" fillId="39" borderId="77" xfId="0" applyFill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hidden="1"/>
    </xf>
    <xf numFmtId="0" fontId="0" fillId="39" borderId="79" xfId="0" applyFill="1" applyBorder="1" applyAlignment="1">
      <alignment/>
    </xf>
    <xf numFmtId="0" fontId="0" fillId="39" borderId="27" xfId="0" applyFill="1" applyBorder="1" applyAlignment="1">
      <alignment/>
    </xf>
    <xf numFmtId="0" fontId="0" fillId="38" borderId="0" xfId="0" applyFill="1" applyAlignment="1">
      <alignment/>
    </xf>
    <xf numFmtId="0" fontId="0" fillId="38" borderId="15" xfId="0" applyFill="1" applyBorder="1" applyAlignment="1" applyProtection="1">
      <alignment/>
      <protection hidden="1"/>
    </xf>
    <xf numFmtId="0" fontId="0" fillId="38" borderId="16" xfId="0" applyFill="1" applyBorder="1" applyAlignment="1" applyProtection="1">
      <alignment/>
      <protection hidden="1"/>
    </xf>
    <xf numFmtId="0" fontId="0" fillId="38" borderId="28" xfId="0" applyFill="1" applyBorder="1" applyAlignment="1" applyProtection="1">
      <alignment/>
      <protection hidden="1"/>
    </xf>
    <xf numFmtId="0" fontId="8" fillId="36" borderId="0" xfId="0" applyFont="1" applyFill="1" applyAlignment="1">
      <alignment horizontal="center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80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0" borderId="81" xfId="0" applyBorder="1" applyAlignment="1" applyProtection="1">
      <alignment/>
      <protection hidden="1"/>
    </xf>
    <xf numFmtId="1" fontId="1" fillId="35" borderId="82" xfId="0" applyNumberFormat="1" applyFont="1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82" xfId="0" applyFill="1" applyBorder="1" applyAlignment="1" applyProtection="1">
      <alignment horizontal="center"/>
      <protection hidden="1"/>
    </xf>
    <xf numFmtId="0" fontId="0" fillId="34" borderId="74" xfId="0" applyFill="1" applyBorder="1" applyAlignment="1" applyProtection="1">
      <alignment horizontal="center"/>
      <protection hidden="1"/>
    </xf>
    <xf numFmtId="0" fontId="0" fillId="34" borderId="83" xfId="0" applyFill="1" applyBorder="1" applyAlignment="1" applyProtection="1">
      <alignment horizontal="center"/>
      <protection hidden="1"/>
    </xf>
    <xf numFmtId="0" fontId="0" fillId="34" borderId="72" xfId="0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9" borderId="17" xfId="0" applyFill="1" applyBorder="1" applyAlignment="1">
      <alignment horizontal="right"/>
    </xf>
    <xf numFmtId="0" fontId="0" fillId="39" borderId="15" xfId="0" applyFill="1" applyBorder="1" applyAlignment="1" applyProtection="1">
      <alignment horizontal="center"/>
      <protection hidden="1"/>
    </xf>
    <xf numFmtId="0" fontId="0" fillId="39" borderId="14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84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2" fontId="0" fillId="0" borderId="85" xfId="0" applyNumberFormat="1" applyBorder="1" applyAlignment="1" applyProtection="1">
      <alignment/>
      <protection hidden="1"/>
    </xf>
    <xf numFmtId="0" fontId="0" fillId="35" borderId="85" xfId="0" applyFill="1" applyBorder="1" applyAlignment="1" applyProtection="1">
      <alignment/>
      <protection hidden="1"/>
    </xf>
    <xf numFmtId="0" fontId="0" fillId="34" borderId="86" xfId="0" applyFill="1" applyBorder="1" applyAlignment="1" applyProtection="1">
      <alignment/>
      <protection hidden="1"/>
    </xf>
    <xf numFmtId="0" fontId="0" fillId="0" borderId="87" xfId="0" applyFill="1" applyBorder="1" applyAlignment="1" applyProtection="1">
      <alignment/>
      <protection hidden="1"/>
    </xf>
    <xf numFmtId="0" fontId="0" fillId="0" borderId="88" xfId="0" applyFill="1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89" xfId="0" applyFill="1" applyBorder="1" applyAlignment="1" applyProtection="1">
      <alignment/>
      <protection hidden="1"/>
    </xf>
    <xf numFmtId="1" fontId="1" fillId="35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 applyProtection="1">
      <alignment/>
      <protection hidden="1"/>
    </xf>
    <xf numFmtId="0" fontId="0" fillId="35" borderId="14" xfId="0" applyFill="1" applyBorder="1" applyAlignment="1">
      <alignment/>
    </xf>
    <xf numFmtId="0" fontId="0" fillId="35" borderId="17" xfId="0" applyFill="1" applyBorder="1" applyAlignment="1" applyProtection="1">
      <alignment/>
      <protection hidden="1"/>
    </xf>
    <xf numFmtId="0" fontId="0" fillId="35" borderId="27" xfId="0" applyFill="1" applyBorder="1" applyAlignment="1">
      <alignment horizontal="center"/>
    </xf>
    <xf numFmtId="0" fontId="0" fillId="35" borderId="17" xfId="0" applyFill="1" applyBorder="1" applyAlignment="1" applyProtection="1">
      <alignment horizontal="center"/>
      <protection hidden="1"/>
    </xf>
    <xf numFmtId="0" fontId="0" fillId="40" borderId="90" xfId="0" applyFill="1" applyBorder="1" applyAlignment="1">
      <alignment/>
    </xf>
    <xf numFmtId="0" fontId="0" fillId="40" borderId="78" xfId="0" applyFill="1" applyBorder="1" applyAlignment="1">
      <alignment/>
    </xf>
    <xf numFmtId="0" fontId="0" fillId="40" borderId="91" xfId="0" applyFill="1" applyBorder="1" applyAlignment="1">
      <alignment/>
    </xf>
    <xf numFmtId="0" fontId="3" fillId="39" borderId="92" xfId="0" applyFont="1" applyFill="1" applyBorder="1" applyAlignment="1">
      <alignment/>
    </xf>
    <xf numFmtId="0" fontId="0" fillId="0" borderId="93" xfId="0" applyFill="1" applyBorder="1" applyAlignment="1" applyProtection="1">
      <alignment/>
      <protection hidden="1"/>
    </xf>
    <xf numFmtId="0" fontId="0" fillId="0" borderId="93" xfId="0" applyBorder="1" applyAlignment="1">
      <alignment horizontal="center"/>
    </xf>
    <xf numFmtId="0" fontId="0" fillId="0" borderId="93" xfId="0" applyFill="1" applyBorder="1" applyAlignment="1">
      <alignment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 applyProtection="1">
      <alignment/>
      <protection hidden="1"/>
    </xf>
    <xf numFmtId="0" fontId="0" fillId="0" borderId="94" xfId="0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94" xfId="0" applyBorder="1" applyAlignment="1">
      <alignment/>
    </xf>
    <xf numFmtId="0" fontId="0" fillId="0" borderId="95" xfId="0" applyFill="1" applyBorder="1" applyAlignment="1" applyProtection="1">
      <alignment/>
      <protection hidden="1"/>
    </xf>
    <xf numFmtId="0" fontId="0" fillId="0" borderId="95" xfId="0" applyBorder="1" applyAlignment="1">
      <alignment/>
    </xf>
    <xf numFmtId="0" fontId="0" fillId="0" borderId="95" xfId="0" applyFill="1" applyBorder="1" applyAlignment="1">
      <alignment/>
    </xf>
    <xf numFmtId="0" fontId="0" fillId="0" borderId="95" xfId="0" applyBorder="1" applyAlignment="1">
      <alignment horizontal="center"/>
    </xf>
    <xf numFmtId="0" fontId="3" fillId="39" borderId="92" xfId="0" applyFont="1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172" fontId="0" fillId="0" borderId="15" xfId="0" applyNumberFormat="1" applyBorder="1" applyAlignment="1" applyProtection="1">
      <alignment/>
      <protection hidden="1"/>
    </xf>
    <xf numFmtId="172" fontId="0" fillId="0" borderId="90" xfId="0" applyNumberFormat="1" applyBorder="1" applyAlignment="1">
      <alignment/>
    </xf>
    <xf numFmtId="172" fontId="0" fillId="0" borderId="16" xfId="0" applyNumberFormat="1" applyBorder="1" applyAlignment="1" applyProtection="1">
      <alignment/>
      <protection hidden="1"/>
    </xf>
    <xf numFmtId="172" fontId="0" fillId="0" borderId="78" xfId="0" applyNumberFormat="1" applyBorder="1" applyAlignment="1">
      <alignment/>
    </xf>
    <xf numFmtId="172" fontId="0" fillId="0" borderId="28" xfId="0" applyNumberFormat="1" applyBorder="1" applyAlignment="1" applyProtection="1">
      <alignment/>
      <protection hidden="1"/>
    </xf>
    <xf numFmtId="173" fontId="0" fillId="0" borderId="94" xfId="0" applyNumberFormat="1" applyBorder="1" applyAlignment="1">
      <alignment horizontal="center"/>
    </xf>
    <xf numFmtId="173" fontId="0" fillId="0" borderId="95" xfId="0" applyNumberFormat="1" applyBorder="1" applyAlignment="1">
      <alignment horizontal="center"/>
    </xf>
    <xf numFmtId="0" fontId="0" fillId="39" borderId="92" xfId="0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>
      <alignment horizontal="right"/>
    </xf>
    <xf numFmtId="0" fontId="0" fillId="34" borderId="92" xfId="0" applyFill="1" applyBorder="1" applyAlignment="1">
      <alignment/>
    </xf>
    <xf numFmtId="173" fontId="0" fillId="0" borderId="94" xfId="0" applyNumberFormat="1" applyFill="1" applyBorder="1" applyAlignment="1">
      <alignment horizontal="center"/>
    </xf>
    <xf numFmtId="173" fontId="0" fillId="0" borderId="93" xfId="0" applyNumberFormat="1" applyBorder="1" applyAlignment="1">
      <alignment horizontal="center"/>
    </xf>
    <xf numFmtId="0" fontId="0" fillId="34" borderId="92" xfId="0" applyFill="1" applyBorder="1" applyAlignment="1" applyProtection="1">
      <alignment/>
      <protection hidden="1"/>
    </xf>
    <xf numFmtId="0" fontId="0" fillId="37" borderId="90" xfId="0" applyFill="1" applyBorder="1" applyAlignment="1">
      <alignment/>
    </xf>
    <xf numFmtId="0" fontId="0" fillId="37" borderId="78" xfId="0" applyFill="1" applyBorder="1" applyAlignment="1">
      <alignment/>
    </xf>
    <xf numFmtId="0" fontId="0" fillId="37" borderId="91" xfId="0" applyFill="1" applyBorder="1" applyAlignment="1">
      <alignment/>
    </xf>
    <xf numFmtId="0" fontId="0" fillId="37" borderId="9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4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173" fontId="0" fillId="0" borderId="14" xfId="0" applyNumberFormat="1" applyBorder="1" applyAlignment="1" applyProtection="1">
      <alignment/>
      <protection hidden="1"/>
    </xf>
    <xf numFmtId="173" fontId="0" fillId="0" borderId="27" xfId="0" applyNumberFormat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/>
      <protection hidden="1"/>
    </xf>
    <xf numFmtId="2" fontId="0" fillId="34" borderId="15" xfId="0" applyNumberFormat="1" applyFill="1" applyBorder="1" applyAlignment="1" applyProtection="1">
      <alignment/>
      <protection hidden="1"/>
    </xf>
    <xf numFmtId="20" fontId="0" fillId="34" borderId="14" xfId="0" applyNumberFormat="1" applyFill="1" applyBorder="1" applyAlignment="1" applyProtection="1">
      <alignment/>
      <protection hidden="1"/>
    </xf>
    <xf numFmtId="2" fontId="0" fillId="34" borderId="16" xfId="0" applyNumberFormat="1" applyFill="1" applyBorder="1" applyAlignment="1" applyProtection="1">
      <alignment/>
      <protection hidden="1"/>
    </xf>
    <xf numFmtId="20" fontId="0" fillId="34" borderId="27" xfId="0" applyNumberFormat="1" applyFill="1" applyBorder="1" applyAlignment="1" applyProtection="1">
      <alignment/>
      <protection hidden="1"/>
    </xf>
    <xf numFmtId="2" fontId="0" fillId="34" borderId="28" xfId="0" applyNumberFormat="1" applyFill="1" applyBorder="1" applyAlignment="1" applyProtection="1">
      <alignment/>
      <protection hidden="1"/>
    </xf>
    <xf numFmtId="173" fontId="0" fillId="34" borderId="17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3" fontId="0" fillId="35" borderId="90" xfId="0" applyNumberFormat="1" applyFill="1" applyBorder="1" applyAlignment="1">
      <alignment/>
    </xf>
    <xf numFmtId="173" fontId="0" fillId="35" borderId="78" xfId="0" applyNumberFormat="1" applyFill="1" applyBorder="1" applyAlignment="1">
      <alignment/>
    </xf>
    <xf numFmtId="173" fontId="0" fillId="35" borderId="91" xfId="0" applyNumberFormat="1" applyFill="1" applyBorder="1" applyAlignment="1">
      <alignment/>
    </xf>
    <xf numFmtId="0" fontId="0" fillId="34" borderId="90" xfId="0" applyFill="1" applyBorder="1" applyAlignment="1">
      <alignment/>
    </xf>
    <xf numFmtId="0" fontId="0" fillId="34" borderId="78" xfId="0" applyFill="1" applyBorder="1" applyAlignment="1">
      <alignment/>
    </xf>
    <xf numFmtId="0" fontId="0" fillId="34" borderId="9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6" xfId="0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0" borderId="97" xfId="0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35" borderId="30" xfId="0" applyFill="1" applyBorder="1" applyAlignment="1" applyProtection="1">
      <alignment/>
      <protection hidden="1"/>
    </xf>
    <xf numFmtId="173" fontId="0" fillId="0" borderId="90" xfId="0" applyNumberFormat="1" applyBorder="1" applyAlignment="1">
      <alignment horizontal="center"/>
    </xf>
    <xf numFmtId="173" fontId="0" fillId="0" borderId="78" xfId="0" applyNumberFormat="1" applyBorder="1" applyAlignment="1">
      <alignment horizontal="center"/>
    </xf>
    <xf numFmtId="173" fontId="0" fillId="0" borderId="78" xfId="0" applyNumberFormat="1" applyFill="1" applyBorder="1" applyAlignment="1">
      <alignment horizontal="center"/>
    </xf>
    <xf numFmtId="173" fontId="0" fillId="0" borderId="91" xfId="0" applyNumberForma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4" fillId="39" borderId="93" xfId="0" applyFont="1" applyFill="1" applyBorder="1" applyAlignment="1" applyProtection="1">
      <alignment/>
      <protection hidden="1"/>
    </xf>
    <xf numFmtId="0" fontId="4" fillId="0" borderId="98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39" borderId="91" xfId="0" applyFont="1" applyFill="1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35" borderId="93" xfId="0" applyFont="1" applyFill="1" applyBorder="1" applyAlignment="1" applyProtection="1">
      <alignment/>
      <protection hidden="1"/>
    </xf>
    <xf numFmtId="0" fontId="7" fillId="41" borderId="93" xfId="0" applyFont="1" applyFill="1" applyBorder="1" applyAlignment="1" applyProtection="1">
      <alignment/>
      <protection hidden="1"/>
    </xf>
    <xf numFmtId="0" fontId="3" fillId="40" borderId="99" xfId="0" applyFont="1" applyFill="1" applyBorder="1" applyAlignment="1" applyProtection="1">
      <alignment/>
      <protection hidden="1"/>
    </xf>
    <xf numFmtId="0" fontId="4" fillId="35" borderId="91" xfId="0" applyFont="1" applyFill="1" applyBorder="1" applyAlignment="1" applyProtection="1">
      <alignment/>
      <protection hidden="1"/>
    </xf>
    <xf numFmtId="0" fontId="7" fillId="41" borderId="91" xfId="0" applyFont="1" applyFill="1" applyBorder="1" applyAlignment="1" applyProtection="1">
      <alignment/>
      <protection hidden="1"/>
    </xf>
    <xf numFmtId="0" fontId="4" fillId="33" borderId="92" xfId="0" applyFont="1" applyFill="1" applyBorder="1" applyAlignment="1" applyProtection="1">
      <alignment/>
      <protection hidden="1"/>
    </xf>
    <xf numFmtId="0" fontId="7" fillId="42" borderId="93" xfId="0" applyFont="1" applyFill="1" applyBorder="1" applyAlignment="1" applyProtection="1">
      <alignment/>
      <protection hidden="1"/>
    </xf>
    <xf numFmtId="0" fontId="7" fillId="42" borderId="91" xfId="0" applyFont="1" applyFill="1" applyBorder="1" applyAlignment="1" applyProtection="1">
      <alignment/>
      <protection hidden="1"/>
    </xf>
    <xf numFmtId="0" fontId="4" fillId="39" borderId="99" xfId="0" applyFont="1" applyFill="1" applyBorder="1" applyAlignment="1" applyProtection="1">
      <alignment/>
      <protection hidden="1"/>
    </xf>
    <xf numFmtId="0" fontId="4" fillId="0" borderId="62" xfId="0" applyFont="1" applyBorder="1" applyAlignment="1" applyProtection="1">
      <alignment/>
      <protection hidden="1"/>
    </xf>
    <xf numFmtId="0" fontId="4" fillId="0" borderId="100" xfId="0" applyFont="1" applyBorder="1" applyAlignment="1" applyProtection="1">
      <alignment/>
      <protection hidden="1"/>
    </xf>
    <xf numFmtId="0" fontId="4" fillId="0" borderId="6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01" xfId="0" applyFont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10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59" xfId="0" applyFont="1" applyBorder="1" applyAlignment="1" applyProtection="1">
      <alignment/>
      <protection hidden="1"/>
    </xf>
    <xf numFmtId="0" fontId="4" fillId="0" borderId="63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1" fillId="35" borderId="82" xfId="0" applyNumberFormat="1" applyFont="1" applyFill="1" applyBorder="1" applyAlignment="1" applyProtection="1">
      <alignment horizontal="left" vertical="center"/>
      <protection locked="0"/>
    </xf>
    <xf numFmtId="0" fontId="1" fillId="35" borderId="82" xfId="0" applyNumberFormat="1" applyFont="1" applyFill="1" applyBorder="1" applyAlignment="1" applyProtection="1">
      <alignment horizontal="center" vertical="center"/>
      <protection locked="0"/>
    </xf>
    <xf numFmtId="0" fontId="1" fillId="35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35" borderId="82" xfId="0" applyFont="1" applyFill="1" applyBorder="1" applyAlignment="1" applyProtection="1">
      <alignment horizontal="center" wrapText="1"/>
      <protection hidden="1"/>
    </xf>
    <xf numFmtId="0" fontId="24" fillId="0" borderId="103" xfId="0" applyFont="1" applyFill="1" applyBorder="1" applyAlignment="1" applyProtection="1">
      <alignment horizontal="left"/>
      <protection hidden="1"/>
    </xf>
    <xf numFmtId="0" fontId="24" fillId="0" borderId="104" xfId="0" applyFont="1" applyFill="1" applyBorder="1" applyAlignment="1" applyProtection="1">
      <alignment horizontal="center"/>
      <protection hidden="1"/>
    </xf>
    <xf numFmtId="0" fontId="24" fillId="0" borderId="105" xfId="0" applyFont="1" applyFill="1" applyBorder="1" applyAlignment="1" applyProtection="1">
      <alignment horizontal="center"/>
      <protection locked="0"/>
    </xf>
    <xf numFmtId="0" fontId="24" fillId="0" borderId="106" xfId="0" applyFont="1" applyFill="1" applyBorder="1" applyAlignment="1" applyProtection="1">
      <alignment horizontal="center"/>
      <protection hidden="1"/>
    </xf>
    <xf numFmtId="0" fontId="24" fillId="0" borderId="107" xfId="0" applyFont="1" applyFill="1" applyBorder="1" applyAlignment="1" applyProtection="1">
      <alignment horizontal="center"/>
      <protection hidden="1"/>
    </xf>
    <xf numFmtId="0" fontId="24" fillId="0" borderId="108" xfId="0" applyFont="1" applyFill="1" applyBorder="1" applyAlignment="1" applyProtection="1">
      <alignment horizontal="center"/>
      <protection hidden="1"/>
    </xf>
    <xf numFmtId="0" fontId="24" fillId="0" borderId="107" xfId="0" applyFont="1" applyFill="1" applyBorder="1" applyAlignment="1" applyProtection="1">
      <alignment horizontal="left"/>
      <protection hidden="1"/>
    </xf>
    <xf numFmtId="0" fontId="1" fillId="35" borderId="82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8" xfId="0" applyNumberFormat="1" applyBorder="1" applyAlignment="1">
      <alignment/>
    </xf>
    <xf numFmtId="183" fontId="0" fillId="0" borderId="0" xfId="0" applyNumberFormat="1" applyAlignment="1">
      <alignment/>
    </xf>
    <xf numFmtId="0" fontId="0" fillId="0" borderId="94" xfId="0" applyFill="1" applyBorder="1" applyAlignment="1" applyProtection="1">
      <alignment horizontal="center"/>
      <protection hidden="1"/>
    </xf>
    <xf numFmtId="0" fontId="0" fillId="0" borderId="93" xfId="0" applyBorder="1" applyAlignment="1">
      <alignment/>
    </xf>
    <xf numFmtId="0" fontId="0" fillId="0" borderId="32" xfId="0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 hidden="1"/>
    </xf>
    <xf numFmtId="0" fontId="0" fillId="39" borderId="109" xfId="0" applyFill="1" applyBorder="1" applyAlignment="1" applyProtection="1">
      <alignment/>
      <protection locked="0"/>
    </xf>
    <xf numFmtId="0" fontId="22" fillId="33" borderId="75" xfId="0" applyFont="1" applyFill="1" applyBorder="1" applyAlignment="1" applyProtection="1">
      <alignment horizontal="center"/>
      <protection hidden="1"/>
    </xf>
    <xf numFmtId="0" fontId="8" fillId="37" borderId="73" xfId="0" applyFont="1" applyFill="1" applyBorder="1" applyAlignment="1" applyProtection="1">
      <alignment horizontal="center"/>
      <protection hidden="1"/>
    </xf>
    <xf numFmtId="0" fontId="8" fillId="37" borderId="74" xfId="0" applyFont="1" applyFill="1" applyBorder="1" applyAlignment="1" applyProtection="1">
      <alignment horizontal="center"/>
      <protection hidden="1"/>
    </xf>
    <xf numFmtId="0" fontId="24" fillId="38" borderId="73" xfId="0" applyFont="1" applyFill="1" applyBorder="1" applyAlignment="1" applyProtection="1">
      <alignment horizontal="center"/>
      <protection hidden="1"/>
    </xf>
    <xf numFmtId="0" fontId="24" fillId="38" borderId="74" xfId="0" applyFont="1" applyFill="1" applyBorder="1" applyAlignment="1" applyProtection="1">
      <alignment horizontal="center"/>
      <protection hidden="1"/>
    </xf>
    <xf numFmtId="0" fontId="25" fillId="39" borderId="73" xfId="0" applyFont="1" applyFill="1" applyBorder="1" applyAlignment="1" applyProtection="1">
      <alignment horizontal="center"/>
      <protection hidden="1"/>
    </xf>
    <xf numFmtId="0" fontId="25" fillId="39" borderId="74" xfId="0" applyFont="1" applyFill="1" applyBorder="1" applyAlignment="1" applyProtection="1">
      <alignment horizontal="center"/>
      <protection hidden="1"/>
    </xf>
    <xf numFmtId="0" fontId="26" fillId="38" borderId="73" xfId="0" applyFont="1" applyFill="1" applyBorder="1" applyAlignment="1" applyProtection="1">
      <alignment horizontal="center"/>
      <protection hidden="1"/>
    </xf>
    <xf numFmtId="0" fontId="26" fillId="38" borderId="74" xfId="0" applyFont="1" applyFill="1" applyBorder="1" applyAlignment="1" applyProtection="1">
      <alignment horizontal="center"/>
      <protection hidden="1"/>
    </xf>
    <xf numFmtId="0" fontId="0" fillId="36" borderId="73" xfId="0" applyFont="1" applyFill="1" applyBorder="1" applyAlignment="1" applyProtection="1">
      <alignment horizontal="center"/>
      <protection hidden="1"/>
    </xf>
    <xf numFmtId="0" fontId="0" fillId="36" borderId="7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34" borderId="0" xfId="0" applyFont="1" applyFill="1" applyAlignment="1" applyProtection="1">
      <alignment horizontal="center"/>
      <protection hidden="1"/>
    </xf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34" borderId="32" xfId="0" applyFont="1" applyFill="1" applyBorder="1" applyAlignment="1" applyProtection="1">
      <alignment horizontal="center"/>
      <protection hidden="1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39" borderId="10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>
      <alignment horizontal="center"/>
    </xf>
    <xf numFmtId="0" fontId="20" fillId="36" borderId="112" xfId="0" applyFont="1" applyFill="1" applyBorder="1" applyAlignment="1" applyProtection="1">
      <alignment horizontal="center"/>
      <protection hidden="1"/>
    </xf>
    <xf numFmtId="0" fontId="20" fillId="36" borderId="0" xfId="0" applyFont="1" applyFill="1" applyBorder="1" applyAlignment="1" applyProtection="1">
      <alignment horizontal="center"/>
      <protection hidden="1"/>
    </xf>
    <xf numFmtId="0" fontId="20" fillId="36" borderId="113" xfId="0" applyFont="1" applyFill="1" applyBorder="1" applyAlignment="1" applyProtection="1">
      <alignment horizontal="center"/>
      <protection hidden="1"/>
    </xf>
    <xf numFmtId="0" fontId="20" fillId="36" borderId="114" xfId="0" applyFont="1" applyFill="1" applyBorder="1" applyAlignment="1" applyProtection="1">
      <alignment horizontal="center"/>
      <protection hidden="1"/>
    </xf>
    <xf numFmtId="0" fontId="20" fillId="36" borderId="40" xfId="0" applyFont="1" applyFill="1" applyBorder="1" applyAlignment="1" applyProtection="1">
      <alignment horizontal="center"/>
      <protection hidden="1"/>
    </xf>
    <xf numFmtId="0" fontId="20" fillId="36" borderId="115" xfId="0" applyFont="1" applyFill="1" applyBorder="1" applyAlignment="1" applyProtection="1">
      <alignment horizontal="center"/>
      <protection hidden="1"/>
    </xf>
    <xf numFmtId="0" fontId="12" fillId="33" borderId="35" xfId="0" applyFont="1" applyFill="1" applyBorder="1" applyAlignment="1" applyProtection="1">
      <alignment horizontal="right" vertical="center"/>
      <protection hidden="1"/>
    </xf>
    <xf numFmtId="172" fontId="13" fillId="33" borderId="116" xfId="0" applyNumberFormat="1" applyFont="1" applyFill="1" applyBorder="1" applyAlignment="1" applyProtection="1">
      <alignment horizontal="center" vertical="center"/>
      <protection locked="0"/>
    </xf>
    <xf numFmtId="0" fontId="20" fillId="36" borderId="117" xfId="0" applyFont="1" applyFill="1" applyBorder="1" applyAlignment="1" applyProtection="1">
      <alignment horizontal="center"/>
      <protection hidden="1"/>
    </xf>
    <xf numFmtId="0" fontId="20" fillId="36" borderId="118" xfId="0" applyFont="1" applyFill="1" applyBorder="1" applyAlignment="1" applyProtection="1">
      <alignment horizontal="center"/>
      <protection hidden="1"/>
    </xf>
    <xf numFmtId="0" fontId="20" fillId="36" borderId="119" xfId="0" applyFont="1" applyFill="1" applyBorder="1" applyAlignment="1" applyProtection="1">
      <alignment horizontal="center"/>
      <protection hidden="1"/>
    </xf>
    <xf numFmtId="0" fontId="12" fillId="33" borderId="35" xfId="0" applyFont="1" applyFill="1" applyBorder="1" applyAlignment="1" applyProtection="1">
      <alignment horizontal="center" vertical="center"/>
      <protection hidden="1"/>
    </xf>
    <xf numFmtId="172" fontId="13" fillId="33" borderId="116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sw.FALCKVITAL\Lokale%20innstillinger\Temporary%20Internet%20Files\Content.IE5\YKFPROYU\Pyramide%20v2.4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SVEINW~1\LOKALE~1\Temp\Temporary%20Internet%20Files\Content.IE5\I8M1NP8K\nm_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TatB"/>
      <sheetName val="TatC"/>
      <sheetName val="HjArk"/>
      <sheetName val="Tabeller"/>
      <sheetName val="Tab"/>
      <sheetName val="HjHoved"/>
      <sheetName val="TimeSc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HjArk"/>
      <sheetName val="Tab"/>
      <sheetName val="HjHoved"/>
      <sheetName val="TimeScedule"/>
      <sheetName val="Lists"/>
    </sheetNames>
    <sheetDataSet>
      <sheetData sheetId="0">
        <row r="3">
          <cell r="H3" t="str">
            <v>H-85KG</v>
          </cell>
          <cell r="M3" t="str">
            <v>D+62KG</v>
          </cell>
          <cell r="R3" t="str">
            <v>H+85KG</v>
          </cell>
        </row>
        <row r="4">
          <cell r="H4" t="str">
            <v>D-55KG</v>
          </cell>
          <cell r="M4" t="str">
            <v>H-75KG</v>
          </cell>
          <cell r="R4" t="str">
            <v>D-62KG</v>
          </cell>
        </row>
        <row r="5">
          <cell r="H5" t="str">
            <v>H-65KG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"/>
  <dimension ref="A1:AA79"/>
  <sheetViews>
    <sheetView showGridLines="0" zoomScale="70" zoomScaleNormal="70" zoomScalePageLayoutView="0" workbookViewId="0" topLeftCell="A1">
      <selection activeCell="F1" sqref="F1"/>
    </sheetView>
  </sheetViews>
  <sheetFormatPr defaultColWidth="11.421875" defaultRowHeight="12.75"/>
  <cols>
    <col min="1" max="1" width="11.57421875" style="3" customWidth="1"/>
    <col min="2" max="2" width="10.28125" style="3" customWidth="1"/>
    <col min="3" max="3" width="9.140625" style="3" customWidth="1"/>
    <col min="4" max="4" width="10.00390625" style="3" customWidth="1"/>
    <col min="5" max="5" width="11.8515625" style="3" customWidth="1"/>
    <col min="6" max="6" width="11.28125" style="3" customWidth="1"/>
    <col min="7" max="7" width="1.1484375" style="81" customWidth="1"/>
    <col min="8" max="11" width="12.421875" style="81" customWidth="1"/>
    <col min="12" max="12" width="0.85546875" style="81" customWidth="1"/>
    <col min="13" max="16" width="12.421875" style="81" customWidth="1"/>
    <col min="17" max="17" width="0.9921875" style="81" customWidth="1"/>
    <col min="18" max="21" width="12.421875" style="81" customWidth="1"/>
    <col min="22" max="22" width="1.28515625" style="81" customWidth="1"/>
    <col min="23" max="26" width="8.8515625" style="81" customWidth="1"/>
    <col min="27" max="16384" width="11.421875" style="3" customWidth="1"/>
  </cols>
  <sheetData>
    <row r="1" spans="1:26" ht="30.75" customHeight="1">
      <c r="A1" s="172"/>
      <c r="B1" s="172"/>
      <c r="C1" s="172"/>
      <c r="D1" s="172"/>
      <c r="E1" s="172"/>
      <c r="F1" s="172"/>
      <c r="G1" s="172"/>
      <c r="H1" s="406" t="s">
        <v>47</v>
      </c>
      <c r="I1" s="406"/>
      <c r="J1" s="406"/>
      <c r="K1" s="406"/>
      <c r="L1" s="172"/>
      <c r="M1" s="406" t="s">
        <v>104</v>
      </c>
      <c r="N1" s="406"/>
      <c r="O1" s="406"/>
      <c r="P1" s="406"/>
      <c r="Q1" s="172"/>
      <c r="R1" s="406" t="s">
        <v>105</v>
      </c>
      <c r="S1" s="406"/>
      <c r="T1" s="406"/>
      <c r="U1" s="406"/>
      <c r="V1" s="39"/>
      <c r="W1" s="3"/>
      <c r="X1" s="3"/>
      <c r="Y1" s="3"/>
      <c r="Z1" s="3"/>
    </row>
    <row r="2" spans="1:22" s="176" customFormat="1" ht="22.5">
      <c r="A2" s="173" t="s">
        <v>106</v>
      </c>
      <c r="B2" s="173" t="s">
        <v>107</v>
      </c>
      <c r="C2" s="173" t="s">
        <v>108</v>
      </c>
      <c r="D2" s="173" t="s">
        <v>121</v>
      </c>
      <c r="E2" s="173" t="s">
        <v>109</v>
      </c>
      <c r="F2" s="173" t="s">
        <v>110</v>
      </c>
      <c r="G2" s="174"/>
      <c r="H2" s="173" t="s">
        <v>106</v>
      </c>
      <c r="I2" s="175" t="s">
        <v>111</v>
      </c>
      <c r="J2" s="175" t="s">
        <v>112</v>
      </c>
      <c r="K2" s="173" t="s">
        <v>113</v>
      </c>
      <c r="L2" s="174"/>
      <c r="M2" s="173" t="s">
        <v>106</v>
      </c>
      <c r="N2" s="175" t="s">
        <v>111</v>
      </c>
      <c r="O2" s="175" t="s">
        <v>112</v>
      </c>
      <c r="P2" s="173" t="s">
        <v>113</v>
      </c>
      <c r="Q2" s="174"/>
      <c r="R2" s="173" t="s">
        <v>106</v>
      </c>
      <c r="S2" s="175" t="s">
        <v>111</v>
      </c>
      <c r="T2" s="175" t="s">
        <v>112</v>
      </c>
      <c r="U2" s="173" t="s">
        <v>113</v>
      </c>
      <c r="V2" s="174"/>
    </row>
    <row r="3" spans="1:26" ht="12.75">
      <c r="A3" s="388" t="str">
        <f>IF(HjArk!B4="","",HjArk!B4)</f>
        <v>H-75KG</v>
      </c>
      <c r="B3" s="389">
        <f aca="true" t="shared" si="0" ref="B3:B36">Comp</f>
        <v>8</v>
      </c>
      <c r="C3" s="389">
        <f aca="true" t="shared" si="1" ref="C3:C36">FigO</f>
        <v>4</v>
      </c>
      <c r="D3" s="389">
        <f aca="true" t="shared" si="2" ref="D3:D36">NoSemiF</f>
        <v>2</v>
      </c>
      <c r="E3" s="389">
        <f aca="true" t="shared" si="3" ref="E3:E36">NoBrF</f>
        <v>1</v>
      </c>
      <c r="F3" s="390" t="s">
        <v>5</v>
      </c>
      <c r="G3" s="177"/>
      <c r="H3" s="391" t="s">
        <v>230</v>
      </c>
      <c r="I3" s="392" t="str">
        <f aca="true" t="shared" si="4" ref="I3:I36">OpTatA</f>
        <v>1 - 4</v>
      </c>
      <c r="J3" s="392" t="str">
        <f aca="true" t="shared" si="5" ref="J3:J36">SemiFTatA</f>
        <v>5 - 6</v>
      </c>
      <c r="K3" s="393">
        <f>BrFTatA</f>
        <v>1</v>
      </c>
      <c r="L3" s="178"/>
      <c r="M3" s="391" t="s">
        <v>232</v>
      </c>
      <c r="N3" s="392" t="str">
        <f>IF($M3="","",VLOOKUP($M3,Tab!FordMatB,3,FALSE))</f>
        <v>1 - 4</v>
      </c>
      <c r="O3" s="392" t="str">
        <f>IF($M3="","",VLOOKUP($M3,Tab!FordMatB,4,FALSE))</f>
        <v>5 - 6</v>
      </c>
      <c r="P3" s="393">
        <f>BrFTatB</f>
        <v>1</v>
      </c>
      <c r="Q3" s="178"/>
      <c r="R3" s="391"/>
      <c r="S3" s="392">
        <f>IF($R3="","",VLOOKUP($R3,Tab!FordMatC,3,FALSE))</f>
      </c>
      <c r="T3" s="392">
        <f>IF($R3="","",VLOOKUP($R3,Tab!FordMatC,4,FALSE))</f>
      </c>
      <c r="U3" s="393">
        <f>BrFTatC</f>
      </c>
      <c r="V3" s="177"/>
      <c r="W3" s="179"/>
      <c r="X3" s="179"/>
      <c r="Y3" s="179"/>
      <c r="Z3" s="179"/>
    </row>
    <row r="4" spans="1:26" ht="12.75">
      <c r="A4" s="388" t="str">
        <f>IF(HjArk!B5="","",HjArk!B5)</f>
        <v>H-85KG</v>
      </c>
      <c r="B4" s="389">
        <f t="shared" si="0"/>
        <v>8</v>
      </c>
      <c r="C4" s="389">
        <f t="shared" si="1"/>
        <v>4</v>
      </c>
      <c r="D4" s="389">
        <f t="shared" si="2"/>
        <v>2</v>
      </c>
      <c r="E4" s="389">
        <f t="shared" si="3"/>
        <v>1</v>
      </c>
      <c r="F4" s="390" t="s">
        <v>25</v>
      </c>
      <c r="G4" s="177"/>
      <c r="H4" s="391" t="s">
        <v>235</v>
      </c>
      <c r="I4" s="392" t="str">
        <f t="shared" si="4"/>
        <v>7 - 8</v>
      </c>
      <c r="J4" s="392" t="str">
        <f t="shared" si="5"/>
        <v>9 - 10</v>
      </c>
      <c r="K4" s="393">
        <f aca="true" t="shared" si="6" ref="K4:K36">IF(ISERROR(BrFTatA+K3),"",BrFTatA+K3)</f>
        <v>2</v>
      </c>
      <c r="L4" s="178"/>
      <c r="M4" s="391" t="s">
        <v>255</v>
      </c>
      <c r="N4" s="392">
        <f>IF($M4="","",VLOOKUP($M4,Tab!FordMatB,3,FALSE))</f>
        <v>7</v>
      </c>
      <c r="O4" s="392" t="str">
        <f>IF($M4="","",VLOOKUP($M4,Tab!FordMatB,4,FALSE))</f>
        <v>8 - 9</v>
      </c>
      <c r="P4" s="393">
        <f aca="true" t="shared" si="7" ref="P4:P36">IF(ISERROR(BrFTatB+P3),"",BrFTatB+P3)</f>
        <v>2</v>
      </c>
      <c r="Q4" s="178"/>
      <c r="R4" s="391"/>
      <c r="S4" s="392">
        <f>IF($R4="","",VLOOKUP($R4,Tab!FordMatC,3,FALSE))</f>
      </c>
      <c r="T4" s="392">
        <f>IF($R4="","",VLOOKUP($R4,Tab!FordMatC,4,FALSE))</f>
      </c>
      <c r="U4" s="393">
        <f aca="true" t="shared" si="8" ref="U4:U36">IF(ISERROR(BrFTatC+U3),"",BrFTatC+U3)</f>
      </c>
      <c r="V4" s="177"/>
      <c r="W4" s="179"/>
      <c r="X4" s="179"/>
      <c r="Y4" s="179"/>
      <c r="Z4" s="179"/>
    </row>
    <row r="5" spans="1:26" ht="12.75">
      <c r="A5" s="388" t="str">
        <f>IF(HjArk!B6="","",HjArk!B6)</f>
        <v>D+62KG</v>
      </c>
      <c r="B5" s="389">
        <f t="shared" si="0"/>
        <v>6</v>
      </c>
      <c r="C5" s="389">
        <f t="shared" si="1"/>
        <v>2</v>
      </c>
      <c r="D5" s="389">
        <f t="shared" si="2"/>
        <v>2</v>
      </c>
      <c r="E5" s="389">
        <f t="shared" si="3"/>
        <v>1</v>
      </c>
      <c r="F5" s="390" t="s">
        <v>5</v>
      </c>
      <c r="G5" s="177"/>
      <c r="H5" s="391" t="s">
        <v>253</v>
      </c>
      <c r="I5" s="392" t="str">
        <f t="shared" si="4"/>
        <v> - </v>
      </c>
      <c r="J5" s="392" t="str">
        <f t="shared" si="5"/>
        <v>11 - 12</v>
      </c>
      <c r="K5" s="393">
        <f t="shared" si="6"/>
        <v>3</v>
      </c>
      <c r="L5" s="178"/>
      <c r="M5" s="391" t="s">
        <v>250</v>
      </c>
      <c r="N5" s="392" t="str">
        <f>IF($M5="","",VLOOKUP($M5,Tab!FordMatB,3,FALSE))</f>
        <v> - </v>
      </c>
      <c r="O5" s="392" t="str">
        <f>IF($M5="","",VLOOKUP($M5,Tab!FordMatB,4,FALSE))</f>
        <v>10 - 11</v>
      </c>
      <c r="P5" s="393">
        <f t="shared" si="7"/>
        <v>3</v>
      </c>
      <c r="Q5" s="178"/>
      <c r="R5" s="391"/>
      <c r="S5" s="392">
        <f>IF($R5="","",VLOOKUP($R5,Tab!FordMatC,3,FALSE))</f>
      </c>
      <c r="T5" s="392">
        <f>IF($R5="","",VLOOKUP($R5,Tab!FordMatC,4,FALSE))</f>
      </c>
      <c r="U5" s="393">
        <f t="shared" si="8"/>
      </c>
      <c r="V5" s="177"/>
      <c r="W5" s="179"/>
      <c r="X5" s="179"/>
      <c r="Y5" s="179"/>
      <c r="Z5" s="179"/>
    </row>
    <row r="6" spans="1:26" ht="12.75">
      <c r="A6" s="388" t="str">
        <f>IF(HjArk!B7="","",HjArk!B7)</f>
        <v>JH+63KG</v>
      </c>
      <c r="B6" s="389">
        <f t="shared" si="0"/>
        <v>5</v>
      </c>
      <c r="C6" s="389">
        <f t="shared" si="1"/>
        <v>1</v>
      </c>
      <c r="D6" s="389">
        <f t="shared" si="2"/>
        <v>2</v>
      </c>
      <c r="E6" s="389">
        <f t="shared" si="3"/>
        <v>1</v>
      </c>
      <c r="F6" s="390" t="s">
        <v>25</v>
      </c>
      <c r="G6" s="177"/>
      <c r="H6" s="391" t="s">
        <v>239</v>
      </c>
      <c r="I6" s="392" t="str">
        <f t="shared" si="4"/>
        <v> - </v>
      </c>
      <c r="J6" s="392" t="str">
        <f t="shared" si="5"/>
        <v> - </v>
      </c>
      <c r="K6" s="393">
        <f t="shared" si="6"/>
      </c>
      <c r="L6" s="178"/>
      <c r="M6" s="391" t="s">
        <v>246</v>
      </c>
      <c r="N6" s="392" t="str">
        <f>IF($M6="","",VLOOKUP($M6,Tab!FordMatB,3,FALSE))</f>
        <v> - </v>
      </c>
      <c r="O6" s="392">
        <f>IF($M6="","",VLOOKUP($M6,Tab!FordMatB,4,FALSE))</f>
        <v>12</v>
      </c>
      <c r="P6" s="393">
        <f t="shared" si="7"/>
      </c>
      <c r="Q6" s="178"/>
      <c r="R6" s="391"/>
      <c r="S6" s="392">
        <f>IF($R6="","",VLOOKUP($R6,Tab!FordMatC,3,FALSE))</f>
      </c>
      <c r="T6" s="392">
        <f>IF($R6="","",VLOOKUP($R6,Tab!FordMatC,4,FALSE))</f>
      </c>
      <c r="U6" s="393">
        <f t="shared" si="8"/>
      </c>
      <c r="V6" s="177"/>
      <c r="W6" s="179"/>
      <c r="X6" s="179"/>
      <c r="Y6" s="179"/>
      <c r="Z6" s="179"/>
    </row>
    <row r="7" spans="1:26" ht="12.75">
      <c r="A7" s="388" t="str">
        <f>IF(HjArk!B8="","",HjArk!B8)</f>
        <v>D-62KG</v>
      </c>
      <c r="B7" s="389">
        <f t="shared" si="0"/>
        <v>4</v>
      </c>
      <c r="C7" s="389">
        <f t="shared" si="1"/>
        <v>0</v>
      </c>
      <c r="D7" s="389">
        <f t="shared" si="2"/>
        <v>2</v>
      </c>
      <c r="E7" s="389">
        <f t="shared" si="3"/>
        <v>1</v>
      </c>
      <c r="F7" s="390" t="s">
        <v>25</v>
      </c>
      <c r="G7" s="177"/>
      <c r="H7" s="391" t="s">
        <v>241</v>
      </c>
      <c r="I7" s="392" t="str">
        <f t="shared" si="4"/>
        <v> - </v>
      </c>
      <c r="J7" s="392" t="str">
        <f t="shared" si="5"/>
        <v> - </v>
      </c>
      <c r="K7" s="393">
        <f t="shared" si="6"/>
      </c>
      <c r="L7" s="178"/>
      <c r="M7" s="391" t="s">
        <v>227</v>
      </c>
      <c r="N7" s="392" t="str">
        <f>IF($M7="","",VLOOKUP($M7,Tab!FordMatB,3,FALSE))</f>
        <v> - </v>
      </c>
      <c r="O7" s="392">
        <f>IF($M7="","",VLOOKUP($M7,Tab!FordMatB,4,FALSE))</f>
        <v>13</v>
      </c>
      <c r="P7" s="393">
        <f t="shared" si="7"/>
      </c>
      <c r="Q7" s="178"/>
      <c r="R7" s="391"/>
      <c r="S7" s="392">
        <f>IF($R7="","",VLOOKUP($R7,Tab!FordMatC,3,FALSE))</f>
      </c>
      <c r="T7" s="392">
        <f>IF($R7="","",VLOOKUP($R7,Tab!FordMatC,4,FALSE))</f>
      </c>
      <c r="U7" s="393">
        <f t="shared" si="8"/>
      </c>
      <c r="V7" s="177"/>
      <c r="W7" s="179"/>
      <c r="X7" s="179"/>
      <c r="Y7" s="179"/>
      <c r="Z7" s="179"/>
    </row>
    <row r="8" spans="1:26" ht="12.75">
      <c r="A8" s="388" t="str">
        <f>IF(HjArk!B9="","",HjArk!B9)</f>
        <v>JD-57KG</v>
      </c>
      <c r="B8" s="389">
        <f t="shared" si="0"/>
        <v>4</v>
      </c>
      <c r="C8" s="389">
        <f t="shared" si="1"/>
        <v>0</v>
      </c>
      <c r="D8" s="389">
        <f t="shared" si="2"/>
        <v>2</v>
      </c>
      <c r="E8" s="389">
        <f t="shared" si="3"/>
        <v>1</v>
      </c>
      <c r="F8" s="390" t="s">
        <v>5</v>
      </c>
      <c r="G8" s="177"/>
      <c r="H8" s="391"/>
      <c r="I8" s="392">
        <f t="shared" si="4"/>
      </c>
      <c r="J8" s="392">
        <f t="shared" si="5"/>
      </c>
      <c r="K8" s="393">
        <f t="shared" si="6"/>
      </c>
      <c r="L8" s="178"/>
      <c r="M8" s="391"/>
      <c r="N8" s="392">
        <f>IF($M8="","",VLOOKUP($M8,Tab!FordMatB,3,FALSE))</f>
      </c>
      <c r="O8" s="392">
        <f>IF($M8="","",VLOOKUP($M8,Tab!FordMatB,4,FALSE))</f>
      </c>
      <c r="P8" s="393">
        <f t="shared" si="7"/>
      </c>
      <c r="Q8" s="178"/>
      <c r="R8" s="391"/>
      <c r="S8" s="392">
        <f>IF($R8="","",VLOOKUP($R8,Tab!FordMatC,3,FALSE))</f>
      </c>
      <c r="T8" s="392">
        <f>IF($R8="","",VLOOKUP($R8,Tab!FordMatC,4,FALSE))</f>
      </c>
      <c r="U8" s="393">
        <f t="shared" si="8"/>
      </c>
      <c r="V8" s="177"/>
      <c r="W8" s="179"/>
      <c r="X8" s="179"/>
      <c r="Y8" s="179"/>
      <c r="Z8" s="179"/>
    </row>
    <row r="9" spans="1:26" ht="12.75">
      <c r="A9" s="388" t="str">
        <f>IF(HjArk!B10="","",HjArk!B10)</f>
        <v>H+85KG</v>
      </c>
      <c r="B9" s="389">
        <f t="shared" si="0"/>
        <v>3</v>
      </c>
      <c r="C9" s="389">
        <f t="shared" si="1"/>
        <v>0</v>
      </c>
      <c r="D9" s="389">
        <f t="shared" si="2"/>
        <v>1</v>
      </c>
      <c r="E9" s="389">
        <f t="shared" si="3"/>
        <v>0</v>
      </c>
      <c r="F9" s="390" t="s">
        <v>25</v>
      </c>
      <c r="G9" s="177"/>
      <c r="H9" s="391"/>
      <c r="I9" s="392">
        <f t="shared" si="4"/>
      </c>
      <c r="J9" s="392">
        <f t="shared" si="5"/>
      </c>
      <c r="K9" s="393">
        <f t="shared" si="6"/>
      </c>
      <c r="L9" s="178"/>
      <c r="M9" s="391"/>
      <c r="N9" s="392">
        <f>IF($M9="","",VLOOKUP($M9,Tab!FordMatB,3,FALSE))</f>
      </c>
      <c r="O9" s="392">
        <f>IF($M9="","",VLOOKUP($M9,Tab!FordMatB,4,FALSE))</f>
      </c>
      <c r="P9" s="393">
        <f t="shared" si="7"/>
      </c>
      <c r="Q9" s="178"/>
      <c r="R9" s="391"/>
      <c r="S9" s="392">
        <f>IF($R9="","",VLOOKUP($R9,Tab!FordMatC,3,FALSE))</f>
      </c>
      <c r="T9" s="392">
        <f>IF($R9="","",VLOOKUP($R9,Tab!FordMatC,4,FALSE))</f>
      </c>
      <c r="U9" s="393">
        <f t="shared" si="8"/>
      </c>
      <c r="V9" s="177"/>
      <c r="W9" s="179"/>
      <c r="X9" s="179"/>
      <c r="Y9" s="179"/>
      <c r="Z9" s="179"/>
    </row>
    <row r="10" spans="1:26" ht="12.75">
      <c r="A10" s="388" t="str">
        <f>IF(HjArk!B11="","",HjArk!B11)</f>
        <v>JH-63KG</v>
      </c>
      <c r="B10" s="389">
        <f t="shared" si="0"/>
        <v>3</v>
      </c>
      <c r="C10" s="389">
        <f t="shared" si="1"/>
        <v>0</v>
      </c>
      <c r="D10" s="389">
        <f t="shared" si="2"/>
        <v>1</v>
      </c>
      <c r="E10" s="389">
        <f t="shared" si="3"/>
        <v>0</v>
      </c>
      <c r="F10" s="390" t="s">
        <v>25</v>
      </c>
      <c r="G10" s="177"/>
      <c r="H10" s="391"/>
      <c r="I10" s="392">
        <f t="shared" si="4"/>
      </c>
      <c r="J10" s="392">
        <f t="shared" si="5"/>
      </c>
      <c r="K10" s="393">
        <f t="shared" si="6"/>
      </c>
      <c r="L10" s="178"/>
      <c r="M10" s="391"/>
      <c r="N10" s="392">
        <f>IF($M10="","",VLOOKUP($M10,Tab!FordMatB,3,FALSE))</f>
      </c>
      <c r="O10" s="392">
        <f>IF($M10="","",VLOOKUP($M10,Tab!FordMatB,4,FALSE))</f>
      </c>
      <c r="P10" s="393">
        <f t="shared" si="7"/>
      </c>
      <c r="Q10" s="178"/>
      <c r="R10" s="391"/>
      <c r="S10" s="392">
        <f>IF($R10="","",VLOOKUP($R10,Tab!FordMatC,3,FALSE))</f>
      </c>
      <c r="T10" s="392">
        <f>IF($R10="","",VLOOKUP($R10,Tab!FordMatC,4,FALSE))</f>
      </c>
      <c r="U10" s="393">
        <f t="shared" si="8"/>
      </c>
      <c r="V10" s="177"/>
      <c r="W10" s="179"/>
      <c r="X10" s="179"/>
      <c r="Y10" s="179"/>
      <c r="Z10" s="179"/>
    </row>
    <row r="11" spans="1:26" ht="12.75">
      <c r="A11" s="388" t="str">
        <f>IF(HjArk!B12="","",HjArk!B12)</f>
        <v>D-55KG</v>
      </c>
      <c r="B11" s="389">
        <f t="shared" si="0"/>
        <v>2</v>
      </c>
      <c r="C11" s="389">
        <f t="shared" si="1"/>
        <v>0</v>
      </c>
      <c r="D11" s="389">
        <f t="shared" si="2"/>
        <v>0</v>
      </c>
      <c r="E11" s="389">
        <f t="shared" si="3"/>
        <v>0</v>
      </c>
      <c r="F11" s="390" t="s">
        <v>5</v>
      </c>
      <c r="G11" s="177"/>
      <c r="H11" s="391"/>
      <c r="I11" s="392">
        <f t="shared" si="4"/>
      </c>
      <c r="J11" s="392">
        <f t="shared" si="5"/>
      </c>
      <c r="K11" s="393">
        <f t="shared" si="6"/>
      </c>
      <c r="L11" s="178"/>
      <c r="M11" s="391"/>
      <c r="N11" s="392">
        <f>IF($M11="","",VLOOKUP($M11,Tab!FordMatB,3,FALSE))</f>
      </c>
      <c r="O11" s="392">
        <f>IF($M11="","",VLOOKUP($M11,Tab!FordMatB,4,FALSE))</f>
      </c>
      <c r="P11" s="393">
        <f t="shared" si="7"/>
      </c>
      <c r="Q11" s="178"/>
      <c r="R11" s="391"/>
      <c r="S11" s="392">
        <f>IF($R11="","",VLOOKUP($R11,Tab!FordMatC,3,FALSE))</f>
      </c>
      <c r="T11" s="392">
        <f>IF($R11="","",VLOOKUP($R11,Tab!FordMatC,4,FALSE))</f>
      </c>
      <c r="U11" s="393">
        <f t="shared" si="8"/>
      </c>
      <c r="V11" s="177"/>
      <c r="W11" s="179"/>
      <c r="X11" s="179"/>
      <c r="Y11" s="179"/>
      <c r="Z11" s="179"/>
    </row>
    <row r="12" spans="1:26" ht="12.75">
      <c r="A12" s="388" t="str">
        <f>IF(HjArk!B13="","",HjArk!B13)</f>
        <v>JH-57KG</v>
      </c>
      <c r="B12" s="389">
        <f t="shared" si="0"/>
        <v>2</v>
      </c>
      <c r="C12" s="389">
        <f t="shared" si="1"/>
        <v>0</v>
      </c>
      <c r="D12" s="389">
        <f t="shared" si="2"/>
        <v>0</v>
      </c>
      <c r="E12" s="389">
        <f t="shared" si="3"/>
        <v>0</v>
      </c>
      <c r="F12" s="390" t="s">
        <v>5</v>
      </c>
      <c r="G12" s="177"/>
      <c r="H12" s="391"/>
      <c r="I12" s="392">
        <f t="shared" si="4"/>
      </c>
      <c r="J12" s="392">
        <f t="shared" si="5"/>
      </c>
      <c r="K12" s="393">
        <f t="shared" si="6"/>
      </c>
      <c r="L12" s="178"/>
      <c r="M12" s="391"/>
      <c r="N12" s="392">
        <f>IF($M12="","",VLOOKUP($M12,Tab!FordMatB,3,FALSE))</f>
      </c>
      <c r="O12" s="392">
        <f>IF($M12="","",VLOOKUP($M12,Tab!FordMatB,4,FALSE))</f>
      </c>
      <c r="P12" s="393">
        <f t="shared" si="7"/>
      </c>
      <c r="Q12" s="178"/>
      <c r="R12" s="391"/>
      <c r="S12" s="392">
        <f>IF($R12="","",VLOOKUP($R12,Tab!FordMatC,3,FALSE))</f>
      </c>
      <c r="T12" s="392">
        <f>IF($R12="","",VLOOKUP($R12,Tab!FordMatC,4,FALSE))</f>
      </c>
      <c r="U12" s="393">
        <f t="shared" si="8"/>
      </c>
      <c r="V12" s="177"/>
      <c r="W12" s="179"/>
      <c r="X12" s="179"/>
      <c r="Y12" s="179"/>
      <c r="Z12" s="179"/>
    </row>
    <row r="13" spans="1:26" ht="12.75">
      <c r="A13" s="388">
        <f>IF(HjArk!B14="","",HjArk!B14)</f>
      </c>
      <c r="B13" s="389">
        <f t="shared" si="0"/>
      </c>
      <c r="C13" s="389">
        <f t="shared" si="1"/>
      </c>
      <c r="D13" s="389">
        <f t="shared" si="2"/>
      </c>
      <c r="E13" s="389">
        <f t="shared" si="3"/>
      </c>
      <c r="F13" s="390" t="s">
        <v>25</v>
      </c>
      <c r="G13" s="177"/>
      <c r="H13" s="391"/>
      <c r="I13" s="392">
        <f t="shared" si="4"/>
      </c>
      <c r="J13" s="392">
        <f t="shared" si="5"/>
      </c>
      <c r="K13" s="393">
        <f t="shared" si="6"/>
      </c>
      <c r="L13" s="178"/>
      <c r="M13" s="391"/>
      <c r="N13" s="392">
        <f>IF($M13="","",VLOOKUP($M13,Tab!FordMatB,3,FALSE))</f>
      </c>
      <c r="O13" s="392">
        <f>IF($M13="","",VLOOKUP($M13,Tab!FordMatB,4,FALSE))</f>
      </c>
      <c r="P13" s="393">
        <f t="shared" si="7"/>
      </c>
      <c r="Q13" s="178"/>
      <c r="R13" s="391"/>
      <c r="S13" s="392">
        <f>IF($R13="","",VLOOKUP($R13,Tab!FordMatC,3,FALSE))</f>
      </c>
      <c r="T13" s="392">
        <f>IF($R13="","",VLOOKUP($R13,Tab!FordMatC,4,FALSE))</f>
      </c>
      <c r="U13" s="393">
        <f t="shared" si="8"/>
      </c>
      <c r="V13" s="177"/>
      <c r="W13" s="179"/>
      <c r="X13" s="179"/>
      <c r="Y13" s="179"/>
      <c r="Z13" s="179"/>
    </row>
    <row r="14" spans="1:26" ht="12.75">
      <c r="A14" s="388">
        <f>IF(HjArk!B15="","",HjArk!B15)</f>
      </c>
      <c r="B14" s="389">
        <f t="shared" si="0"/>
      </c>
      <c r="C14" s="389">
        <f t="shared" si="1"/>
      </c>
      <c r="D14" s="389">
        <f t="shared" si="2"/>
      </c>
      <c r="E14" s="389">
        <f t="shared" si="3"/>
      </c>
      <c r="F14" s="390" t="s">
        <v>5</v>
      </c>
      <c r="G14" s="177"/>
      <c r="H14" s="391"/>
      <c r="I14" s="392">
        <f t="shared" si="4"/>
      </c>
      <c r="J14" s="392">
        <f t="shared" si="5"/>
      </c>
      <c r="K14" s="393">
        <f t="shared" si="6"/>
      </c>
      <c r="L14" s="178"/>
      <c r="M14" s="391"/>
      <c r="N14" s="392">
        <f>IF($M14="","",VLOOKUP($M14,Tab!FordMatB,3,FALSE))</f>
      </c>
      <c r="O14" s="392">
        <f>IF($M14="","",VLOOKUP($M14,Tab!FordMatB,4,FALSE))</f>
      </c>
      <c r="P14" s="393">
        <f t="shared" si="7"/>
      </c>
      <c r="Q14" s="178"/>
      <c r="R14" s="391"/>
      <c r="S14" s="392">
        <f>IF($R14="","",VLOOKUP($R14,Tab!FordMatC,3,FALSE))</f>
      </c>
      <c r="T14" s="392">
        <f>IF($R14="","",VLOOKUP($R14,Tab!FordMatC,4,FALSE))</f>
      </c>
      <c r="U14" s="393">
        <f t="shared" si="8"/>
      </c>
      <c r="V14" s="177"/>
      <c r="W14" s="179"/>
      <c r="X14" s="179"/>
      <c r="Y14" s="179"/>
      <c r="Z14" s="179"/>
    </row>
    <row r="15" spans="1:26" ht="12.75">
      <c r="A15" s="388">
        <f>IF(HjArk!B16="","",HjArk!B16)</f>
      </c>
      <c r="B15" s="389">
        <f t="shared" si="0"/>
      </c>
      <c r="C15" s="389">
        <f t="shared" si="1"/>
      </c>
      <c r="D15" s="389">
        <f t="shared" si="2"/>
      </c>
      <c r="E15" s="389">
        <f t="shared" si="3"/>
      </c>
      <c r="F15" s="390" t="s">
        <v>5</v>
      </c>
      <c r="G15" s="177"/>
      <c r="H15" s="391"/>
      <c r="I15" s="392">
        <f t="shared" si="4"/>
      </c>
      <c r="J15" s="392">
        <f t="shared" si="5"/>
      </c>
      <c r="K15" s="393">
        <f t="shared" si="6"/>
      </c>
      <c r="L15" s="178"/>
      <c r="M15" s="391"/>
      <c r="N15" s="392">
        <f>IF($M15="","",VLOOKUP($M15,Tab!FordMatB,3,FALSE))</f>
      </c>
      <c r="O15" s="392">
        <f>IF($M15="","",VLOOKUP($M15,Tab!FordMatB,4,FALSE))</f>
      </c>
      <c r="P15" s="393">
        <f t="shared" si="7"/>
      </c>
      <c r="Q15" s="178"/>
      <c r="R15" s="391"/>
      <c r="S15" s="392">
        <f>IF($R15="","",VLOOKUP($R15,Tab!FordMatC,3,FALSE))</f>
      </c>
      <c r="T15" s="392">
        <f>IF($R15="","",VLOOKUP($R15,Tab!FordMatC,4,FALSE))</f>
      </c>
      <c r="U15" s="393">
        <f t="shared" si="8"/>
      </c>
      <c r="V15" s="177"/>
      <c r="W15" s="179"/>
      <c r="X15" s="179"/>
      <c r="Y15" s="179"/>
      <c r="Z15" s="179"/>
    </row>
    <row r="16" spans="1:26" ht="12.75">
      <c r="A16" s="388">
        <f>IF(HjArk!B17="","",HjArk!B17)</f>
      </c>
      <c r="B16" s="389">
        <f t="shared" si="0"/>
      </c>
      <c r="C16" s="389">
        <f t="shared" si="1"/>
      </c>
      <c r="D16" s="389">
        <f t="shared" si="2"/>
      </c>
      <c r="E16" s="389">
        <f t="shared" si="3"/>
      </c>
      <c r="F16" s="390" t="s">
        <v>25</v>
      </c>
      <c r="G16" s="177"/>
      <c r="H16" s="391"/>
      <c r="I16" s="392">
        <f t="shared" si="4"/>
      </c>
      <c r="J16" s="392">
        <f t="shared" si="5"/>
      </c>
      <c r="K16" s="393">
        <f t="shared" si="6"/>
      </c>
      <c r="L16" s="178"/>
      <c r="M16" s="391"/>
      <c r="N16" s="392">
        <f>IF($M16="","",VLOOKUP($M16,Tab!FordMatB,3,FALSE))</f>
      </c>
      <c r="O16" s="392">
        <f>IF($M16="","",VLOOKUP($M16,Tab!FordMatB,4,FALSE))</f>
      </c>
      <c r="P16" s="393">
        <f t="shared" si="7"/>
      </c>
      <c r="Q16" s="178"/>
      <c r="R16" s="391"/>
      <c r="S16" s="392">
        <f>IF($R16="","",VLOOKUP($R16,Tab!FordMatC,3,FALSE))</f>
      </c>
      <c r="T16" s="392">
        <f>IF($R16="","",VLOOKUP($R16,Tab!FordMatC,4,FALSE))</f>
      </c>
      <c r="U16" s="393">
        <f t="shared" si="8"/>
      </c>
      <c r="V16" s="177"/>
      <c r="W16" s="179"/>
      <c r="X16" s="179"/>
      <c r="Y16" s="179"/>
      <c r="Z16" s="179"/>
    </row>
    <row r="17" spans="1:26" ht="12.75">
      <c r="A17" s="388">
        <f>IF(HjArk!B18="","",HjArk!B18)</f>
      </c>
      <c r="B17" s="389">
        <f t="shared" si="0"/>
      </c>
      <c r="C17" s="389">
        <f t="shared" si="1"/>
      </c>
      <c r="D17" s="389">
        <f t="shared" si="2"/>
      </c>
      <c r="E17" s="389">
        <f t="shared" si="3"/>
      </c>
      <c r="F17" s="390" t="s">
        <v>27</v>
      </c>
      <c r="G17" s="177"/>
      <c r="H17" s="391"/>
      <c r="I17" s="392">
        <f t="shared" si="4"/>
      </c>
      <c r="J17" s="392">
        <f t="shared" si="5"/>
      </c>
      <c r="K17" s="393">
        <f t="shared" si="6"/>
      </c>
      <c r="L17" s="178"/>
      <c r="M17" s="391"/>
      <c r="N17" s="392">
        <f>IF($M17="","",VLOOKUP($M17,Tab!FordMatB,3,FALSE))</f>
      </c>
      <c r="O17" s="392">
        <f>IF($M17="","",VLOOKUP($M17,Tab!FordMatB,4,FALSE))</f>
      </c>
      <c r="P17" s="393">
        <f t="shared" si="7"/>
      </c>
      <c r="Q17" s="178"/>
      <c r="R17" s="391"/>
      <c r="S17" s="392">
        <f>IF($R17="","",VLOOKUP($R17,Tab!FordMatC,3,FALSE))</f>
      </c>
      <c r="T17" s="392">
        <f>IF($R17="","",VLOOKUP($R17,Tab!FordMatC,4,FALSE))</f>
      </c>
      <c r="U17" s="393">
        <f t="shared" si="8"/>
      </c>
      <c r="V17" s="177"/>
      <c r="W17" s="179"/>
      <c r="X17" s="179"/>
      <c r="Y17" s="179"/>
      <c r="Z17" s="179"/>
    </row>
    <row r="18" spans="1:26" ht="12.75">
      <c r="A18" s="388">
        <f>IF(HjArk!B19="","",HjArk!B19)</f>
      </c>
      <c r="B18" s="389">
        <f t="shared" si="0"/>
      </c>
      <c r="C18" s="389">
        <f t="shared" si="1"/>
      </c>
      <c r="D18" s="389">
        <f t="shared" si="2"/>
      </c>
      <c r="E18" s="389">
        <f t="shared" si="3"/>
      </c>
      <c r="F18" s="390" t="s">
        <v>5</v>
      </c>
      <c r="G18" s="177"/>
      <c r="H18" s="391"/>
      <c r="I18" s="392">
        <f t="shared" si="4"/>
      </c>
      <c r="J18" s="392">
        <f t="shared" si="5"/>
      </c>
      <c r="K18" s="393">
        <f t="shared" si="6"/>
      </c>
      <c r="L18" s="178"/>
      <c r="M18" s="391"/>
      <c r="N18" s="392">
        <f>IF($M18="","",VLOOKUP($M18,Tab!FordMatB,3,FALSE))</f>
      </c>
      <c r="O18" s="392">
        <f>IF($M18="","",VLOOKUP($M18,Tab!FordMatB,4,FALSE))</f>
      </c>
      <c r="P18" s="393">
        <f t="shared" si="7"/>
      </c>
      <c r="Q18" s="178"/>
      <c r="R18" s="391"/>
      <c r="S18" s="392">
        <f>IF($R18="","",VLOOKUP($R18,Tab!FordMatC,3,FALSE))</f>
      </c>
      <c r="T18" s="392">
        <f>IF($R18="","",VLOOKUP($R18,Tab!FordMatC,4,FALSE))</f>
      </c>
      <c r="U18" s="393">
        <f t="shared" si="8"/>
      </c>
      <c r="V18" s="177"/>
      <c r="W18" s="179"/>
      <c r="X18" s="179"/>
      <c r="Y18" s="179"/>
      <c r="Z18" s="179"/>
    </row>
    <row r="19" spans="1:26" ht="12.75">
      <c r="A19" s="388">
        <f>IF(HjArk!B20="","",HjArk!B20)</f>
      </c>
      <c r="B19" s="389">
        <f t="shared" si="0"/>
      </c>
      <c r="C19" s="389">
        <f t="shared" si="1"/>
      </c>
      <c r="D19" s="389">
        <f t="shared" si="2"/>
      </c>
      <c r="E19" s="389">
        <f t="shared" si="3"/>
      </c>
      <c r="F19" s="390" t="s">
        <v>25</v>
      </c>
      <c r="G19" s="177"/>
      <c r="H19" s="391"/>
      <c r="I19" s="392">
        <f t="shared" si="4"/>
      </c>
      <c r="J19" s="392">
        <f t="shared" si="5"/>
      </c>
      <c r="K19" s="393">
        <f t="shared" si="6"/>
      </c>
      <c r="L19" s="178"/>
      <c r="M19" s="391"/>
      <c r="N19" s="392">
        <f>IF($M19="","",VLOOKUP($M19,Tab!FordMatB,3,FALSE))</f>
      </c>
      <c r="O19" s="392">
        <f>IF($M19="","",VLOOKUP($M19,Tab!FordMatB,4,FALSE))</f>
      </c>
      <c r="P19" s="393">
        <f t="shared" si="7"/>
      </c>
      <c r="Q19" s="178"/>
      <c r="R19" s="391"/>
      <c r="S19" s="392">
        <f>IF($R19="","",VLOOKUP($R19,Tab!FordMatC,3,FALSE))</f>
      </c>
      <c r="T19" s="392">
        <f>IF($R19="","",VLOOKUP($R19,Tab!FordMatC,4,FALSE))</f>
      </c>
      <c r="U19" s="393">
        <f t="shared" si="8"/>
      </c>
      <c r="V19" s="177"/>
      <c r="W19" s="179"/>
      <c r="X19" s="179"/>
      <c r="Y19" s="179"/>
      <c r="Z19" s="179"/>
    </row>
    <row r="20" spans="1:26" ht="12.75">
      <c r="A20" s="388">
        <f>IF(HjArk!B21="","",HjArk!B21)</f>
      </c>
      <c r="B20" s="389">
        <f t="shared" si="0"/>
      </c>
      <c r="C20" s="389">
        <f t="shared" si="1"/>
      </c>
      <c r="D20" s="389">
        <f t="shared" si="2"/>
      </c>
      <c r="E20" s="389">
        <f t="shared" si="3"/>
      </c>
      <c r="F20" s="390" t="s">
        <v>27</v>
      </c>
      <c r="G20" s="177"/>
      <c r="H20" s="391"/>
      <c r="I20" s="392">
        <f t="shared" si="4"/>
      </c>
      <c r="J20" s="392">
        <f t="shared" si="5"/>
      </c>
      <c r="K20" s="393">
        <f t="shared" si="6"/>
      </c>
      <c r="L20" s="178"/>
      <c r="M20" s="391"/>
      <c r="N20" s="392">
        <f>IF($M20="","",VLOOKUP($M20,Tab!FordMatB,3,FALSE))</f>
      </c>
      <c r="O20" s="392">
        <f>IF($M20="","",VLOOKUP($M20,Tab!FordMatB,4,FALSE))</f>
      </c>
      <c r="P20" s="393">
        <f t="shared" si="7"/>
      </c>
      <c r="Q20" s="178"/>
      <c r="R20" s="391"/>
      <c r="S20" s="392">
        <f>IF($R20="","",VLOOKUP($R20,Tab!FordMatC,3,FALSE))</f>
      </c>
      <c r="T20" s="392">
        <f>IF($R20="","",VLOOKUP($R20,Tab!FordMatC,4,FALSE))</f>
      </c>
      <c r="U20" s="393">
        <f t="shared" si="8"/>
      </c>
      <c r="V20" s="177"/>
      <c r="W20" s="179"/>
      <c r="X20" s="179"/>
      <c r="Y20" s="179"/>
      <c r="Z20" s="179"/>
    </row>
    <row r="21" spans="1:26" ht="12.75">
      <c r="A21" s="388">
        <f>IF(HjArk!B22="","",HjArk!B22)</f>
      </c>
      <c r="B21" s="389">
        <f t="shared" si="0"/>
      </c>
      <c r="C21" s="389">
        <f t="shared" si="1"/>
      </c>
      <c r="D21" s="389">
        <f t="shared" si="2"/>
      </c>
      <c r="E21" s="389">
        <f t="shared" si="3"/>
      </c>
      <c r="F21" s="390" t="s">
        <v>5</v>
      </c>
      <c r="G21" s="177"/>
      <c r="H21" s="391"/>
      <c r="I21" s="392">
        <f t="shared" si="4"/>
      </c>
      <c r="J21" s="392">
        <f t="shared" si="5"/>
      </c>
      <c r="K21" s="393">
        <f t="shared" si="6"/>
      </c>
      <c r="L21" s="178"/>
      <c r="M21" s="391"/>
      <c r="N21" s="392">
        <f>IF($M21="","",VLOOKUP($M21,Tab!FordMatB,3,FALSE))</f>
      </c>
      <c r="O21" s="392">
        <f>IF($M21="","",VLOOKUP($M21,Tab!FordMatB,4,FALSE))</f>
      </c>
      <c r="P21" s="393">
        <f t="shared" si="7"/>
      </c>
      <c r="Q21" s="178"/>
      <c r="R21" s="391"/>
      <c r="S21" s="392">
        <f>IF($R21="","",VLOOKUP($R21,Tab!FordMatC,3,FALSE))</f>
      </c>
      <c r="T21" s="392">
        <f>IF($R21="","",VLOOKUP($R21,Tab!FordMatC,4,FALSE))</f>
      </c>
      <c r="U21" s="393">
        <f t="shared" si="8"/>
      </c>
      <c r="V21" s="177"/>
      <c r="W21" s="179"/>
      <c r="X21" s="179"/>
      <c r="Y21" s="179"/>
      <c r="Z21" s="179"/>
    </row>
    <row r="22" spans="1:26" ht="12.75">
      <c r="A22" s="388">
        <f>IF(HjArk!B23="","",HjArk!B23)</f>
      </c>
      <c r="B22" s="389">
        <f t="shared" si="0"/>
      </c>
      <c r="C22" s="389">
        <f t="shared" si="1"/>
      </c>
      <c r="D22" s="389">
        <f t="shared" si="2"/>
      </c>
      <c r="E22" s="389">
        <f t="shared" si="3"/>
      </c>
      <c r="F22" s="390" t="s">
        <v>25</v>
      </c>
      <c r="G22" s="177"/>
      <c r="H22" s="391"/>
      <c r="I22" s="392">
        <f t="shared" si="4"/>
      </c>
      <c r="J22" s="392">
        <f t="shared" si="5"/>
      </c>
      <c r="K22" s="393">
        <f t="shared" si="6"/>
      </c>
      <c r="L22" s="178"/>
      <c r="M22" s="391"/>
      <c r="N22" s="392">
        <f>IF($M22="","",VLOOKUP($M22,Tab!FordMatB,3,FALSE))</f>
      </c>
      <c r="O22" s="392">
        <f>IF($M22="","",VLOOKUP($M22,Tab!FordMatB,4,FALSE))</f>
      </c>
      <c r="P22" s="393">
        <f t="shared" si="7"/>
      </c>
      <c r="Q22" s="178"/>
      <c r="R22" s="391"/>
      <c r="S22" s="392">
        <f>IF($R22="","",VLOOKUP($R22,Tab!FordMatC,3,FALSE))</f>
      </c>
      <c r="T22" s="392">
        <f>IF($R22="","",VLOOKUP($R22,Tab!FordMatC,4,FALSE))</f>
      </c>
      <c r="U22" s="393">
        <f t="shared" si="8"/>
      </c>
      <c r="V22" s="177"/>
      <c r="W22" s="179"/>
      <c r="X22" s="179"/>
      <c r="Y22" s="179"/>
      <c r="Z22" s="179"/>
    </row>
    <row r="23" spans="1:26" ht="12.75">
      <c r="A23" s="388">
        <f>IF(HjArk!B24="","",HjArk!B24)</f>
      </c>
      <c r="B23" s="389">
        <f t="shared" si="0"/>
      </c>
      <c r="C23" s="389">
        <f t="shared" si="1"/>
      </c>
      <c r="D23" s="389">
        <f t="shared" si="2"/>
      </c>
      <c r="E23" s="389">
        <f t="shared" si="3"/>
      </c>
      <c r="F23" s="390" t="s">
        <v>27</v>
      </c>
      <c r="G23" s="177"/>
      <c r="H23" s="391"/>
      <c r="I23" s="392">
        <f t="shared" si="4"/>
      </c>
      <c r="J23" s="392">
        <f t="shared" si="5"/>
      </c>
      <c r="K23" s="393">
        <f t="shared" si="6"/>
      </c>
      <c r="L23" s="178"/>
      <c r="M23" s="391"/>
      <c r="N23" s="392">
        <f>IF($M23="","",VLOOKUP($M23,Tab!FordMatB,3,FALSE))</f>
      </c>
      <c r="O23" s="392">
        <f>IF($M23="","",VLOOKUP($M23,Tab!FordMatB,4,FALSE))</f>
      </c>
      <c r="P23" s="393">
        <f t="shared" si="7"/>
      </c>
      <c r="Q23" s="178"/>
      <c r="R23" s="391"/>
      <c r="S23" s="392">
        <f>IF($R23="","",VLOOKUP($R23,Tab!FordMatC,3,FALSE))</f>
      </c>
      <c r="T23" s="392">
        <f>IF($R23="","",VLOOKUP($R23,Tab!FordMatC,4,FALSE))</f>
      </c>
      <c r="U23" s="393">
        <f t="shared" si="8"/>
      </c>
      <c r="V23" s="177"/>
      <c r="W23" s="179"/>
      <c r="X23" s="179"/>
      <c r="Y23" s="179"/>
      <c r="Z23" s="179"/>
    </row>
    <row r="24" spans="1:26" ht="12.75">
      <c r="A24" s="388">
        <f>IF(HjArk!B25="","",HjArk!B25)</f>
      </c>
      <c r="B24" s="389">
        <f t="shared" si="0"/>
      </c>
      <c r="C24" s="389">
        <f t="shared" si="1"/>
      </c>
      <c r="D24" s="389">
        <f t="shared" si="2"/>
      </c>
      <c r="E24" s="389">
        <f t="shared" si="3"/>
      </c>
      <c r="F24" s="390" t="s">
        <v>5</v>
      </c>
      <c r="G24" s="177"/>
      <c r="H24" s="391"/>
      <c r="I24" s="392">
        <f t="shared" si="4"/>
      </c>
      <c r="J24" s="392">
        <f t="shared" si="5"/>
      </c>
      <c r="K24" s="393">
        <f t="shared" si="6"/>
      </c>
      <c r="L24" s="178"/>
      <c r="M24" s="391"/>
      <c r="N24" s="392">
        <f>IF($M24="","",VLOOKUP($M24,Tab!FordMatB,3,FALSE))</f>
      </c>
      <c r="O24" s="392">
        <f>IF($M24="","",VLOOKUP($M24,Tab!FordMatB,4,FALSE))</f>
      </c>
      <c r="P24" s="393">
        <f t="shared" si="7"/>
      </c>
      <c r="Q24" s="178"/>
      <c r="R24" s="391"/>
      <c r="S24" s="392">
        <f>IF($R24="","",VLOOKUP($R24,Tab!FordMatC,3,FALSE))</f>
      </c>
      <c r="T24" s="392">
        <f>IF($R24="","",VLOOKUP($R24,Tab!FordMatC,4,FALSE))</f>
      </c>
      <c r="U24" s="393">
        <f t="shared" si="8"/>
      </c>
      <c r="V24" s="177"/>
      <c r="W24" s="179"/>
      <c r="X24" s="179"/>
      <c r="Y24" s="179"/>
      <c r="Z24" s="179"/>
    </row>
    <row r="25" spans="1:26" ht="12.75">
      <c r="A25" s="388">
        <f>IF(HjArk!B26="","",HjArk!B26)</f>
      </c>
      <c r="B25" s="389">
        <f t="shared" si="0"/>
      </c>
      <c r="C25" s="389">
        <f t="shared" si="1"/>
      </c>
      <c r="D25" s="389">
        <f t="shared" si="2"/>
      </c>
      <c r="E25" s="389">
        <f t="shared" si="3"/>
      </c>
      <c r="F25" s="390" t="s">
        <v>25</v>
      </c>
      <c r="G25" s="177"/>
      <c r="H25" s="391"/>
      <c r="I25" s="392">
        <f t="shared" si="4"/>
      </c>
      <c r="J25" s="392">
        <f t="shared" si="5"/>
      </c>
      <c r="K25" s="393">
        <f t="shared" si="6"/>
      </c>
      <c r="L25" s="178"/>
      <c r="M25" s="391"/>
      <c r="N25" s="392">
        <f>IF($M25="","",VLOOKUP($M25,Tab!FordMatB,3,FALSE))</f>
      </c>
      <c r="O25" s="392">
        <f>IF($M25="","",VLOOKUP($M25,Tab!FordMatB,4,FALSE))</f>
      </c>
      <c r="P25" s="393">
        <f t="shared" si="7"/>
      </c>
      <c r="Q25" s="178"/>
      <c r="R25" s="391"/>
      <c r="S25" s="392">
        <f>IF($R25="","",VLOOKUP($R25,Tab!FordMatC,3,FALSE))</f>
      </c>
      <c r="T25" s="392">
        <f>IF($R25="","",VLOOKUP($R25,Tab!FordMatC,4,FALSE))</f>
      </c>
      <c r="U25" s="393">
        <f t="shared" si="8"/>
      </c>
      <c r="V25" s="177"/>
      <c r="W25" s="179"/>
      <c r="X25" s="179"/>
      <c r="Y25" s="179"/>
      <c r="Z25" s="179"/>
    </row>
    <row r="26" spans="1:26" ht="12.75">
      <c r="A26" s="388">
        <f>IF(HjArk!B27="","",HjArk!B27)</f>
      </c>
      <c r="B26" s="389">
        <f t="shared" si="0"/>
      </c>
      <c r="C26" s="389">
        <f t="shared" si="1"/>
      </c>
      <c r="D26" s="389">
        <f t="shared" si="2"/>
      </c>
      <c r="E26" s="389">
        <f t="shared" si="3"/>
      </c>
      <c r="F26" s="390" t="s">
        <v>27</v>
      </c>
      <c r="G26" s="177"/>
      <c r="H26" s="391"/>
      <c r="I26" s="392">
        <f t="shared" si="4"/>
      </c>
      <c r="J26" s="392">
        <f t="shared" si="5"/>
      </c>
      <c r="K26" s="393">
        <f t="shared" si="6"/>
      </c>
      <c r="L26" s="178"/>
      <c r="M26" s="391"/>
      <c r="N26" s="392">
        <f>IF($M26="","",VLOOKUP($M26,Tab!FordMatB,3,FALSE))</f>
      </c>
      <c r="O26" s="392">
        <f>IF($M26="","",VLOOKUP($M26,Tab!FordMatB,4,FALSE))</f>
      </c>
      <c r="P26" s="393">
        <f t="shared" si="7"/>
      </c>
      <c r="Q26" s="178"/>
      <c r="R26" s="391"/>
      <c r="S26" s="392">
        <f>IF($R26="","",VLOOKUP($R26,Tab!FordMatC,3,FALSE))</f>
      </c>
      <c r="T26" s="392">
        <f>IF($R26="","",VLOOKUP($R26,Tab!FordMatC,4,FALSE))</f>
      </c>
      <c r="U26" s="393">
        <f t="shared" si="8"/>
      </c>
      <c r="V26" s="177"/>
      <c r="W26" s="179"/>
      <c r="X26" s="179"/>
      <c r="Y26" s="179"/>
      <c r="Z26" s="179"/>
    </row>
    <row r="27" spans="1:26" ht="12.75">
      <c r="A27" s="388">
        <f>IF(HjArk!B28="","",HjArk!B28)</f>
      </c>
      <c r="B27" s="389">
        <f t="shared" si="0"/>
      </c>
      <c r="C27" s="389">
        <f t="shared" si="1"/>
      </c>
      <c r="D27" s="389">
        <f t="shared" si="2"/>
      </c>
      <c r="E27" s="389">
        <f t="shared" si="3"/>
      </c>
      <c r="F27" s="390" t="s">
        <v>5</v>
      </c>
      <c r="G27" s="177"/>
      <c r="H27" s="391"/>
      <c r="I27" s="392">
        <f t="shared" si="4"/>
      </c>
      <c r="J27" s="392">
        <f t="shared" si="5"/>
      </c>
      <c r="K27" s="393">
        <f t="shared" si="6"/>
      </c>
      <c r="L27" s="178"/>
      <c r="M27" s="391"/>
      <c r="N27" s="392">
        <f>IF($M27="","",VLOOKUP($M27,Tab!FordMatB,3,FALSE))</f>
      </c>
      <c r="O27" s="392">
        <f>IF($M27="","",VLOOKUP($M27,Tab!FordMatB,4,FALSE))</f>
      </c>
      <c r="P27" s="393">
        <f t="shared" si="7"/>
      </c>
      <c r="Q27" s="178"/>
      <c r="R27" s="391"/>
      <c r="S27" s="392">
        <f>IF($R27="","",VLOOKUP($R27,Tab!FordMatC,3,FALSE))</f>
      </c>
      <c r="T27" s="392">
        <f>IF($R27="","",VLOOKUP($R27,Tab!FordMatC,4,FALSE))</f>
      </c>
      <c r="U27" s="393">
        <f t="shared" si="8"/>
      </c>
      <c r="V27" s="177"/>
      <c r="W27" s="179"/>
      <c r="X27" s="179"/>
      <c r="Y27" s="179"/>
      <c r="Z27" s="179"/>
    </row>
    <row r="28" spans="1:26" ht="12.75">
      <c r="A28" s="388">
        <f>IF(HjArk!B29="","",HjArk!B29)</f>
      </c>
      <c r="B28" s="389">
        <f t="shared" si="0"/>
      </c>
      <c r="C28" s="389">
        <f t="shared" si="1"/>
      </c>
      <c r="D28" s="389">
        <f t="shared" si="2"/>
      </c>
      <c r="E28" s="389">
        <f t="shared" si="3"/>
      </c>
      <c r="F28" s="390" t="s">
        <v>25</v>
      </c>
      <c r="G28" s="177"/>
      <c r="H28" s="391"/>
      <c r="I28" s="392">
        <f t="shared" si="4"/>
      </c>
      <c r="J28" s="392">
        <f t="shared" si="5"/>
      </c>
      <c r="K28" s="393">
        <f t="shared" si="6"/>
      </c>
      <c r="L28" s="178"/>
      <c r="M28" s="391"/>
      <c r="N28" s="392">
        <f>IF($M28="","",VLOOKUP($M28,Tab!FordMatB,3,FALSE))</f>
      </c>
      <c r="O28" s="392">
        <f>IF($M28="","",VLOOKUP($M28,Tab!FordMatB,4,FALSE))</f>
      </c>
      <c r="P28" s="393">
        <f t="shared" si="7"/>
      </c>
      <c r="Q28" s="178"/>
      <c r="R28" s="391"/>
      <c r="S28" s="392">
        <f>IF($R28="","",VLOOKUP($R28,Tab!FordMatC,3,FALSE))</f>
      </c>
      <c r="T28" s="392">
        <f>IF($R28="","",VLOOKUP($R28,Tab!FordMatC,4,FALSE))</f>
      </c>
      <c r="U28" s="393">
        <f t="shared" si="8"/>
      </c>
      <c r="V28" s="177"/>
      <c r="W28" s="179"/>
      <c r="X28" s="179"/>
      <c r="Y28" s="179"/>
      <c r="Z28" s="179"/>
    </row>
    <row r="29" spans="1:26" ht="12.75">
      <c r="A29" s="388">
        <f>IF(HjArk!B30="","",HjArk!B30)</f>
      </c>
      <c r="B29" s="389">
        <f t="shared" si="0"/>
      </c>
      <c r="C29" s="389">
        <f t="shared" si="1"/>
      </c>
      <c r="D29" s="389">
        <f t="shared" si="2"/>
      </c>
      <c r="E29" s="389">
        <f t="shared" si="3"/>
      </c>
      <c r="F29" s="390" t="s">
        <v>27</v>
      </c>
      <c r="G29" s="177"/>
      <c r="H29" s="391"/>
      <c r="I29" s="392">
        <f t="shared" si="4"/>
      </c>
      <c r="J29" s="392">
        <f t="shared" si="5"/>
      </c>
      <c r="K29" s="393">
        <f t="shared" si="6"/>
      </c>
      <c r="L29" s="178"/>
      <c r="M29" s="391"/>
      <c r="N29" s="392">
        <f>IF($M29="","",VLOOKUP($M29,Tab!FordMatB,3,FALSE))</f>
      </c>
      <c r="O29" s="392">
        <f>IF($M29="","",VLOOKUP($M29,Tab!FordMatB,4,FALSE))</f>
      </c>
      <c r="P29" s="393">
        <f t="shared" si="7"/>
      </c>
      <c r="Q29" s="178"/>
      <c r="R29" s="391"/>
      <c r="S29" s="392">
        <f>IF($R29="","",VLOOKUP($R29,Tab!FordMatC,3,FALSE))</f>
      </c>
      <c r="T29" s="392">
        <f>IF($R29="","",VLOOKUP($R29,Tab!FordMatC,4,FALSE))</f>
      </c>
      <c r="U29" s="393">
        <f t="shared" si="8"/>
      </c>
      <c r="V29" s="177"/>
      <c r="W29" s="179"/>
      <c r="X29" s="179"/>
      <c r="Y29" s="179"/>
      <c r="Z29" s="179"/>
    </row>
    <row r="30" spans="1:26" ht="12.75">
      <c r="A30" s="388">
        <f>IF(HjArk!B31="","",HjArk!B31)</f>
      </c>
      <c r="B30" s="389">
        <f t="shared" si="0"/>
      </c>
      <c r="C30" s="389">
        <f t="shared" si="1"/>
      </c>
      <c r="D30" s="389">
        <f t="shared" si="2"/>
      </c>
      <c r="E30" s="389">
        <f t="shared" si="3"/>
      </c>
      <c r="F30" s="390"/>
      <c r="G30" s="177"/>
      <c r="H30" s="391"/>
      <c r="I30" s="392">
        <f t="shared" si="4"/>
      </c>
      <c r="J30" s="392">
        <f t="shared" si="5"/>
      </c>
      <c r="K30" s="393">
        <f t="shared" si="6"/>
      </c>
      <c r="L30" s="178"/>
      <c r="M30" s="391"/>
      <c r="N30" s="392">
        <f>IF($M30="","",VLOOKUP($M30,Tab!FordMatB,3,FALSE))</f>
      </c>
      <c r="O30" s="392">
        <f>IF($M30="","",VLOOKUP($M30,Tab!FordMatB,4,FALSE))</f>
      </c>
      <c r="P30" s="393">
        <f t="shared" si="7"/>
      </c>
      <c r="Q30" s="178"/>
      <c r="R30" s="391"/>
      <c r="S30" s="392">
        <f>IF($R30="","",VLOOKUP($R30,Tab!FordMatC,3,FALSE))</f>
      </c>
      <c r="T30" s="392">
        <f>IF($R30="","",VLOOKUP($R30,Tab!FordMatC,4,FALSE))</f>
      </c>
      <c r="U30" s="393">
        <f t="shared" si="8"/>
      </c>
      <c r="V30" s="177"/>
      <c r="W30" s="179"/>
      <c r="X30" s="179"/>
      <c r="Y30" s="179"/>
      <c r="Z30" s="179"/>
    </row>
    <row r="31" spans="1:26" ht="12.75">
      <c r="A31" s="388">
        <f>IF(HjArk!B32="","",HjArk!B32)</f>
      </c>
      <c r="B31" s="389">
        <f t="shared" si="0"/>
      </c>
      <c r="C31" s="389">
        <f t="shared" si="1"/>
      </c>
      <c r="D31" s="389">
        <f t="shared" si="2"/>
      </c>
      <c r="E31" s="389">
        <f t="shared" si="3"/>
      </c>
      <c r="F31" s="390"/>
      <c r="G31" s="177"/>
      <c r="H31" s="391"/>
      <c r="I31" s="392">
        <f t="shared" si="4"/>
      </c>
      <c r="J31" s="392">
        <f t="shared" si="5"/>
      </c>
      <c r="K31" s="393">
        <f t="shared" si="6"/>
      </c>
      <c r="L31" s="178"/>
      <c r="M31" s="391"/>
      <c r="N31" s="392">
        <f>IF($M31="","",VLOOKUP($M31,Tab!FordMatB,3,FALSE))</f>
      </c>
      <c r="O31" s="392">
        <f>IF($M31="","",VLOOKUP($M31,Tab!FordMatB,4,FALSE))</f>
      </c>
      <c r="P31" s="393">
        <f t="shared" si="7"/>
      </c>
      <c r="Q31" s="178"/>
      <c r="R31" s="391"/>
      <c r="S31" s="392">
        <f>IF($R31="","",VLOOKUP($R31,Tab!FordMatC,3,FALSE))</f>
      </c>
      <c r="T31" s="392">
        <f>IF($R31="","",VLOOKUP($R31,Tab!FordMatC,4,FALSE))</f>
      </c>
      <c r="U31" s="393">
        <f t="shared" si="8"/>
      </c>
      <c r="V31" s="177"/>
      <c r="W31" s="179"/>
      <c r="X31" s="179"/>
      <c r="Y31" s="179"/>
      <c r="Z31" s="179"/>
    </row>
    <row r="32" spans="1:26" ht="12.75">
      <c r="A32" s="388">
        <f>IF(HjArk!B33="","",HjArk!B33)</f>
      </c>
      <c r="B32" s="389">
        <f t="shared" si="0"/>
      </c>
      <c r="C32" s="389">
        <f t="shared" si="1"/>
      </c>
      <c r="D32" s="389">
        <f t="shared" si="2"/>
      </c>
      <c r="E32" s="389">
        <f t="shared" si="3"/>
      </c>
      <c r="F32" s="390"/>
      <c r="G32" s="177"/>
      <c r="H32" s="391"/>
      <c r="I32" s="392">
        <f t="shared" si="4"/>
      </c>
      <c r="J32" s="392">
        <f t="shared" si="5"/>
      </c>
      <c r="K32" s="393">
        <f t="shared" si="6"/>
      </c>
      <c r="L32" s="178"/>
      <c r="M32" s="391"/>
      <c r="N32" s="392">
        <f>IF($M32="","",VLOOKUP($M32,Tab!FordMatB,3,FALSE))</f>
      </c>
      <c r="O32" s="392">
        <f>IF($M32="","",VLOOKUP($M32,Tab!FordMatB,4,FALSE))</f>
      </c>
      <c r="P32" s="393">
        <f t="shared" si="7"/>
      </c>
      <c r="Q32" s="178"/>
      <c r="R32" s="391"/>
      <c r="S32" s="392">
        <f>IF($R32="","",VLOOKUP($R32,Tab!FordMatC,3,FALSE))</f>
      </c>
      <c r="T32" s="392">
        <f>IF($R32="","",VLOOKUP($R32,Tab!FordMatC,4,FALSE))</f>
      </c>
      <c r="U32" s="393">
        <f t="shared" si="8"/>
      </c>
      <c r="V32" s="177"/>
      <c r="W32" s="179"/>
      <c r="X32" s="179"/>
      <c r="Y32" s="179"/>
      <c r="Z32" s="179"/>
    </row>
    <row r="33" spans="1:26" ht="12.75">
      <c r="A33" s="388">
        <f>IF(HjArk!B34="","",HjArk!B34)</f>
      </c>
      <c r="B33" s="389">
        <f t="shared" si="0"/>
      </c>
      <c r="C33" s="389">
        <f t="shared" si="1"/>
      </c>
      <c r="D33" s="389">
        <f t="shared" si="2"/>
      </c>
      <c r="E33" s="389">
        <f t="shared" si="3"/>
      </c>
      <c r="F33" s="390"/>
      <c r="G33" s="177"/>
      <c r="H33" s="391"/>
      <c r="I33" s="392">
        <f t="shared" si="4"/>
      </c>
      <c r="J33" s="392">
        <f t="shared" si="5"/>
      </c>
      <c r="K33" s="393">
        <f t="shared" si="6"/>
      </c>
      <c r="L33" s="178"/>
      <c r="M33" s="391"/>
      <c r="N33" s="392">
        <f>IF($M33="","",VLOOKUP($M33,Tab!FordMatB,3,FALSE))</f>
      </c>
      <c r="O33" s="392">
        <f>IF($M33="","",VLOOKUP($M33,Tab!FordMatB,4,FALSE))</f>
      </c>
      <c r="P33" s="393">
        <f t="shared" si="7"/>
      </c>
      <c r="Q33" s="178"/>
      <c r="R33" s="391"/>
      <c r="S33" s="392">
        <f>IF($R33="","",VLOOKUP($R33,Tab!FordMatC,3,FALSE))</f>
      </c>
      <c r="T33" s="392">
        <f>IF($R33="","",VLOOKUP($R33,Tab!FordMatC,4,FALSE))</f>
      </c>
      <c r="U33" s="393">
        <f t="shared" si="8"/>
      </c>
      <c r="V33" s="177"/>
      <c r="W33" s="179"/>
      <c r="X33" s="179"/>
      <c r="Y33" s="179"/>
      <c r="Z33" s="179"/>
    </row>
    <row r="34" spans="1:26" ht="12.75">
      <c r="A34" s="388">
        <f>IF(HjArk!B35="","",HjArk!B35)</f>
      </c>
      <c r="B34" s="389">
        <f t="shared" si="0"/>
      </c>
      <c r="C34" s="389">
        <f t="shared" si="1"/>
      </c>
      <c r="D34" s="389">
        <f t="shared" si="2"/>
      </c>
      <c r="E34" s="389">
        <f t="shared" si="3"/>
      </c>
      <c r="F34" s="390"/>
      <c r="G34" s="177"/>
      <c r="H34" s="391"/>
      <c r="I34" s="392">
        <f t="shared" si="4"/>
      </c>
      <c r="J34" s="392">
        <f t="shared" si="5"/>
      </c>
      <c r="K34" s="393">
        <f t="shared" si="6"/>
      </c>
      <c r="L34" s="178"/>
      <c r="M34" s="391"/>
      <c r="N34" s="392">
        <f>IF($M34="","",VLOOKUP($M34,Tab!FordMatB,3,FALSE))</f>
      </c>
      <c r="O34" s="392">
        <f>IF($M34="","",VLOOKUP($M34,Tab!FordMatB,4,FALSE))</f>
      </c>
      <c r="P34" s="393">
        <f t="shared" si="7"/>
      </c>
      <c r="Q34" s="178"/>
      <c r="R34" s="391"/>
      <c r="S34" s="392">
        <f>IF($R34="","",VLOOKUP($R34,Tab!FordMatC,3,FALSE))</f>
      </c>
      <c r="T34" s="392">
        <f>IF($R34="","",VLOOKUP($R34,Tab!FordMatC,4,FALSE))</f>
      </c>
      <c r="U34" s="393">
        <f t="shared" si="8"/>
      </c>
      <c r="V34" s="177"/>
      <c r="W34" s="179"/>
      <c r="X34" s="179"/>
      <c r="Y34" s="179"/>
      <c r="Z34" s="179"/>
    </row>
    <row r="35" spans="1:26" ht="12.75">
      <c r="A35" s="388">
        <f>IF(HjArk!B36="","",HjArk!B36)</f>
      </c>
      <c r="B35" s="389">
        <f t="shared" si="0"/>
      </c>
      <c r="C35" s="389">
        <f t="shared" si="1"/>
      </c>
      <c r="D35" s="389">
        <f t="shared" si="2"/>
      </c>
      <c r="E35" s="389">
        <f t="shared" si="3"/>
      </c>
      <c r="F35" s="390"/>
      <c r="G35" s="177"/>
      <c r="H35" s="391"/>
      <c r="I35" s="392">
        <f t="shared" si="4"/>
      </c>
      <c r="J35" s="392">
        <f t="shared" si="5"/>
      </c>
      <c r="K35" s="393">
        <f t="shared" si="6"/>
      </c>
      <c r="L35" s="178"/>
      <c r="M35" s="391"/>
      <c r="N35" s="392">
        <f>IF($M35="","",VLOOKUP($M35,Tab!FordMatB,3,FALSE))</f>
      </c>
      <c r="O35" s="392">
        <f>IF($M35="","",VLOOKUP($M35,Tab!FordMatB,4,FALSE))</f>
      </c>
      <c r="P35" s="393">
        <f t="shared" si="7"/>
      </c>
      <c r="Q35" s="178"/>
      <c r="R35" s="391"/>
      <c r="S35" s="392">
        <f>IF($R35="","",VLOOKUP($R35,Tab!FordMatC,3,FALSE))</f>
      </c>
      <c r="T35" s="392">
        <f>IF($R35="","",VLOOKUP($R35,Tab!FordMatC,4,FALSE))</f>
      </c>
      <c r="U35" s="393">
        <f t="shared" si="8"/>
      </c>
      <c r="V35" s="177"/>
      <c r="W35" s="179"/>
      <c r="X35" s="179"/>
      <c r="Y35" s="179"/>
      <c r="Z35" s="179"/>
    </row>
    <row r="36" spans="1:26" ht="12.75">
      <c r="A36" s="388">
        <f>IF(HjArk!B37="","",HjArk!B37)</f>
      </c>
      <c r="B36" s="389">
        <f t="shared" si="0"/>
      </c>
      <c r="C36" s="389">
        <f t="shared" si="1"/>
      </c>
      <c r="D36" s="389">
        <f t="shared" si="2"/>
      </c>
      <c r="E36" s="389">
        <f t="shared" si="3"/>
      </c>
      <c r="F36" s="390"/>
      <c r="G36" s="177"/>
      <c r="H36" s="391"/>
      <c r="I36" s="392">
        <f t="shared" si="4"/>
      </c>
      <c r="J36" s="392">
        <f t="shared" si="5"/>
      </c>
      <c r="K36" s="393">
        <f t="shared" si="6"/>
      </c>
      <c r="L36" s="178"/>
      <c r="M36" s="391"/>
      <c r="N36" s="392">
        <f>IF($M36="","",VLOOKUP($M36,Tab!FordMatB,3,FALSE))</f>
      </c>
      <c r="O36" s="392">
        <f>IF($M36="","",VLOOKUP($M36,Tab!FordMatB,4,FALSE))</f>
      </c>
      <c r="P36" s="393">
        <f t="shared" si="7"/>
      </c>
      <c r="Q36" s="178"/>
      <c r="R36" s="391"/>
      <c r="S36" s="392">
        <f>IF($R36="","",VLOOKUP($R36,Tab!FordMatC,3,FALSE))</f>
      </c>
      <c r="T36" s="392">
        <f>IF($R36="","",VLOOKUP($R36,Tab!FordMatC,4,FALSE))</f>
      </c>
      <c r="U36" s="393">
        <f t="shared" si="8"/>
      </c>
      <c r="V36" s="177"/>
      <c r="W36" s="179"/>
      <c r="X36" s="179"/>
      <c r="Y36" s="179"/>
      <c r="Z36" s="179"/>
    </row>
    <row r="37" spans="1:23" ht="3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79"/>
    </row>
    <row r="38" spans="1:26" ht="27.75" customHeight="1">
      <c r="A38" s="180" t="s">
        <v>3</v>
      </c>
      <c r="B38" s="181"/>
      <c r="C38" s="173" t="s">
        <v>108</v>
      </c>
      <c r="D38" s="173" t="s">
        <v>121</v>
      </c>
      <c r="E38" s="173" t="s">
        <v>168</v>
      </c>
      <c r="F38" s="173" t="s">
        <v>109</v>
      </c>
      <c r="G38" s="407" t="s">
        <v>54</v>
      </c>
      <c r="H38" s="408"/>
      <c r="V38" s="39"/>
      <c r="W38" s="179"/>
      <c r="X38" s="3"/>
      <c r="Y38" s="3"/>
      <c r="Z38" s="3"/>
    </row>
    <row r="39" spans="1:26" ht="13.5" customHeight="1">
      <c r="A39" s="182" t="s">
        <v>47</v>
      </c>
      <c r="B39" s="183"/>
      <c r="C39" s="184">
        <f>SUMIF(F3:F36,"A",C3:C36)</f>
        <v>6</v>
      </c>
      <c r="D39" s="184">
        <f>SUMIF(F3:F36,"A",D3:D36)</f>
        <v>6</v>
      </c>
      <c r="E39" s="184">
        <f>SUM(C39:D39)</f>
        <v>12</v>
      </c>
      <c r="F39" s="184">
        <f>SUMIF(F3:F36,"A",E3:E36)</f>
        <v>3</v>
      </c>
      <c r="G39" s="409">
        <f>MAX(K45:K78)</f>
        <v>5</v>
      </c>
      <c r="H39" s="410"/>
      <c r="V39" s="39"/>
      <c r="W39" s="179"/>
      <c r="X39" s="3"/>
      <c r="Y39" s="3"/>
      <c r="Z39" s="3"/>
    </row>
    <row r="40" spans="1:27" ht="12.75">
      <c r="A40" s="185" t="s">
        <v>104</v>
      </c>
      <c r="B40" s="186"/>
      <c r="C40" s="187">
        <f>SUMIF(F3:F36,"B",C3:C36)</f>
        <v>5</v>
      </c>
      <c r="D40" s="187">
        <f>SUMIF(F3:F36,"B",D3:D36)</f>
        <v>8</v>
      </c>
      <c r="E40" s="187">
        <f>SUM(C40:D40)</f>
        <v>13</v>
      </c>
      <c r="F40" s="187">
        <f>SUMIF(F3:F36,"B",E3:E36)</f>
        <v>3</v>
      </c>
      <c r="G40" s="411">
        <f>MAX(P45:P78)</f>
        <v>5</v>
      </c>
      <c r="H40" s="412"/>
      <c r="V40" s="39"/>
      <c r="W40" s="179"/>
      <c r="X40" s="189"/>
      <c r="Y40" s="189"/>
      <c r="Z40" s="189"/>
      <c r="AA40" s="189"/>
    </row>
    <row r="41" spans="1:27" ht="12.75">
      <c r="A41" s="190" t="s">
        <v>105</v>
      </c>
      <c r="B41" s="191"/>
      <c r="C41" s="192">
        <f>SUMIF(F3:F36,"C",C3:C36)</f>
        <v>0</v>
      </c>
      <c r="D41" s="192">
        <f>SUMIF(F3:F36,"C",D3:D36)</f>
        <v>0</v>
      </c>
      <c r="E41" s="192">
        <f>SUM(C41:D41)</f>
        <v>0</v>
      </c>
      <c r="F41" s="192">
        <f>SUMIF(F3:F36,"C",E3:E36)</f>
        <v>0</v>
      </c>
      <c r="G41" s="413">
        <f>MAX(U45:U78)</f>
        <v>0</v>
      </c>
      <c r="H41" s="414"/>
      <c r="V41" s="39"/>
      <c r="W41" s="179"/>
      <c r="X41" s="189"/>
      <c r="Y41" s="189"/>
      <c r="Z41" s="189"/>
      <c r="AA41" s="189"/>
    </row>
    <row r="42" spans="1:27" ht="12.75">
      <c r="A42" s="193" t="s">
        <v>114</v>
      </c>
      <c r="B42" s="194"/>
      <c r="C42" s="195">
        <f>SUM(C39:C41)</f>
        <v>11</v>
      </c>
      <c r="D42" s="195">
        <f>SUM(D39:D41)</f>
        <v>14</v>
      </c>
      <c r="E42" s="195">
        <f>SUM(C42:D42)</f>
        <v>25</v>
      </c>
      <c r="F42" s="195">
        <f>SUM(F39:F41)</f>
        <v>6</v>
      </c>
      <c r="G42" s="415">
        <f>SUM(G39:G41)</f>
        <v>10</v>
      </c>
      <c r="H42" s="416"/>
      <c r="V42" s="39"/>
      <c r="W42" s="179"/>
      <c r="X42" s="189"/>
      <c r="Y42" s="189"/>
      <c r="Z42" s="189"/>
      <c r="AA42" s="189"/>
    </row>
    <row r="43" spans="1:26" ht="4.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7"/>
      <c r="M43" s="196"/>
      <c r="N43" s="196"/>
      <c r="O43" s="196"/>
      <c r="P43" s="196"/>
      <c r="Q43" s="197"/>
      <c r="R43" s="196"/>
      <c r="S43" s="196"/>
      <c r="T43" s="196"/>
      <c r="U43" s="196"/>
      <c r="V43" s="188"/>
      <c r="W43" s="179"/>
      <c r="X43" s="189"/>
      <c r="Y43" s="189"/>
      <c r="Z43" s="189"/>
    </row>
    <row r="44" spans="1:26" ht="30" customHeight="1">
      <c r="A44" s="198"/>
      <c r="B44" s="171"/>
      <c r="G44" s="39"/>
      <c r="H44" s="173" t="s">
        <v>106</v>
      </c>
      <c r="I44" s="199" t="s">
        <v>115</v>
      </c>
      <c r="J44" s="199" t="s">
        <v>116</v>
      </c>
      <c r="K44" s="199" t="s">
        <v>117</v>
      </c>
      <c r="L44" s="200"/>
      <c r="M44" s="173" t="s">
        <v>106</v>
      </c>
      <c r="N44" s="199" t="s">
        <v>118</v>
      </c>
      <c r="O44" s="199" t="s">
        <v>116</v>
      </c>
      <c r="P44" s="199" t="s">
        <v>117</v>
      </c>
      <c r="Q44" s="200"/>
      <c r="R44" s="173" t="s">
        <v>106</v>
      </c>
      <c r="S44" s="199" t="s">
        <v>118</v>
      </c>
      <c r="T44" s="199" t="s">
        <v>116</v>
      </c>
      <c r="U44" s="199" t="s">
        <v>117</v>
      </c>
      <c r="V44" s="188"/>
      <c r="W44" s="179"/>
      <c r="X44" s="189"/>
      <c r="Y44" s="189"/>
      <c r="Z44" s="189"/>
    </row>
    <row r="45" spans="1:26" ht="12.75">
      <c r="A45" s="201"/>
      <c r="B45" s="171"/>
      <c r="G45" s="188"/>
      <c r="H45" s="391" t="str">
        <f aca="true" t="shared" si="9" ref="H45:H78">IF(H3="","",H3)</f>
        <v>H-75KG</v>
      </c>
      <c r="I45" s="394" t="s">
        <v>243</v>
      </c>
      <c r="J45" s="394" t="s">
        <v>276</v>
      </c>
      <c r="K45" s="393">
        <f>IF(H45="","",1)</f>
        <v>1</v>
      </c>
      <c r="L45" s="178"/>
      <c r="M45" s="391" t="str">
        <f aca="true" t="shared" si="10" ref="M45:M78">IF(M3="","",M3)</f>
        <v>H-85KG</v>
      </c>
      <c r="N45" s="394" t="s">
        <v>266</v>
      </c>
      <c r="O45" s="394" t="s">
        <v>274</v>
      </c>
      <c r="P45" s="393">
        <f>IF(M45="","",1)</f>
        <v>1</v>
      </c>
      <c r="Q45" s="178"/>
      <c r="R45" s="391">
        <f>IF(R3="","",R3)</f>
      </c>
      <c r="S45" s="394"/>
      <c r="T45" s="394"/>
      <c r="U45" s="393">
        <f>IF(R45="","",1)</f>
      </c>
      <c r="V45" s="188"/>
      <c r="W45" s="179"/>
      <c r="X45" s="189"/>
      <c r="Y45" s="189"/>
      <c r="Z45" s="189"/>
    </row>
    <row r="46" spans="2:26" ht="12.75">
      <c r="B46" s="171"/>
      <c r="G46" s="188"/>
      <c r="H46" s="391" t="str">
        <f t="shared" si="9"/>
        <v>D+62KG</v>
      </c>
      <c r="I46" s="394" t="s">
        <v>263</v>
      </c>
      <c r="J46" s="394" t="s">
        <v>284</v>
      </c>
      <c r="K46" s="393">
        <f aca="true" t="shared" si="11" ref="K46:K78">IF(H46="","",K45+1)</f>
        <v>2</v>
      </c>
      <c r="L46" s="178"/>
      <c r="M46" s="391" t="str">
        <f t="shared" si="10"/>
        <v>JH+63KG</v>
      </c>
      <c r="N46" s="394" t="s">
        <v>267</v>
      </c>
      <c r="O46" s="394" t="s">
        <v>272</v>
      </c>
      <c r="P46" s="393">
        <f aca="true" t="shared" si="12" ref="P46:P78">IF(M46="","",P45+1)</f>
        <v>2</v>
      </c>
      <c r="Q46" s="178"/>
      <c r="R46" s="391">
        <f>IF(R4="","",R4)</f>
      </c>
      <c r="S46" s="394"/>
      <c r="T46" s="394"/>
      <c r="U46" s="393">
        <f aca="true" t="shared" si="13" ref="U46:U78">IF(R46="","",U45+1)</f>
      </c>
      <c r="V46" s="188"/>
      <c r="W46" s="189"/>
      <c r="X46" s="189"/>
      <c r="Y46" s="189"/>
      <c r="Z46" s="189"/>
    </row>
    <row r="47" spans="2:26" ht="12.75">
      <c r="B47" s="171"/>
      <c r="G47" s="188"/>
      <c r="H47" s="391" t="str">
        <f t="shared" si="9"/>
        <v>JD-57KG</v>
      </c>
      <c r="I47" s="394" t="s">
        <v>265</v>
      </c>
      <c r="J47" s="394" t="s">
        <v>292</v>
      </c>
      <c r="K47" s="393">
        <f t="shared" si="11"/>
        <v>3</v>
      </c>
      <c r="L47" s="178"/>
      <c r="M47" s="391" t="str">
        <f t="shared" si="10"/>
        <v>D-62KG</v>
      </c>
      <c r="N47" s="394" t="s">
        <v>262</v>
      </c>
      <c r="O47" s="394" t="s">
        <v>251</v>
      </c>
      <c r="P47" s="393">
        <f t="shared" si="12"/>
        <v>3</v>
      </c>
      <c r="Q47" s="178"/>
      <c r="R47" s="391">
        <f aca="true" t="shared" si="14" ref="R47:R78">IF(R5="","",R5)</f>
      </c>
      <c r="S47" s="394"/>
      <c r="T47" s="394"/>
      <c r="U47" s="393">
        <f t="shared" si="13"/>
      </c>
      <c r="V47" s="188"/>
      <c r="W47" s="189"/>
      <c r="X47" s="189"/>
      <c r="Y47" s="189"/>
      <c r="Z47" s="189"/>
    </row>
    <row r="48" spans="2:26" ht="12.75">
      <c r="B48" s="171"/>
      <c r="G48" s="188"/>
      <c r="H48" s="391" t="str">
        <f t="shared" si="9"/>
        <v>D-55KG</v>
      </c>
      <c r="I48" s="394" t="s">
        <v>240</v>
      </c>
      <c r="J48" s="394" t="s">
        <v>280</v>
      </c>
      <c r="K48" s="393">
        <f t="shared" si="11"/>
        <v>4</v>
      </c>
      <c r="L48" s="178"/>
      <c r="M48" s="391" t="str">
        <f t="shared" si="10"/>
        <v>H+85KG</v>
      </c>
      <c r="N48" s="394" t="s">
        <v>247</v>
      </c>
      <c r="O48" s="394" t="s">
        <v>248</v>
      </c>
      <c r="P48" s="393">
        <f t="shared" si="12"/>
        <v>4</v>
      </c>
      <c r="Q48" s="178"/>
      <c r="R48" s="391">
        <f t="shared" si="14"/>
      </c>
      <c r="S48" s="394"/>
      <c r="T48" s="394"/>
      <c r="U48" s="393">
        <f t="shared" si="13"/>
      </c>
      <c r="V48" s="188"/>
      <c r="W48" s="189"/>
      <c r="X48" s="189"/>
      <c r="Y48" s="189"/>
      <c r="Z48" s="189"/>
    </row>
    <row r="49" spans="2:26" ht="12.75">
      <c r="B49" s="171"/>
      <c r="G49" s="188"/>
      <c r="H49" s="391" t="str">
        <f t="shared" si="9"/>
        <v>JH-57KG</v>
      </c>
      <c r="I49" s="394" t="s">
        <v>242</v>
      </c>
      <c r="J49" s="394" t="s">
        <v>278</v>
      </c>
      <c r="K49" s="393">
        <f t="shared" si="11"/>
        <v>5</v>
      </c>
      <c r="L49" s="178"/>
      <c r="M49" s="391" t="str">
        <f t="shared" si="10"/>
        <v>JH-63KG</v>
      </c>
      <c r="N49" s="394" t="s">
        <v>291</v>
      </c>
      <c r="O49" s="394" t="s">
        <v>273</v>
      </c>
      <c r="P49" s="393">
        <f t="shared" si="12"/>
        <v>5</v>
      </c>
      <c r="Q49" s="178"/>
      <c r="R49" s="391">
        <f t="shared" si="14"/>
      </c>
      <c r="S49" s="394"/>
      <c r="T49" s="394"/>
      <c r="U49" s="393">
        <f t="shared" si="13"/>
      </c>
      <c r="V49" s="188"/>
      <c r="W49" s="189"/>
      <c r="X49" s="189"/>
      <c r="Y49" s="189"/>
      <c r="Z49" s="189"/>
    </row>
    <row r="50" spans="2:26" ht="12.75">
      <c r="B50" s="171"/>
      <c r="G50" s="188"/>
      <c r="H50" s="391">
        <f t="shared" si="9"/>
      </c>
      <c r="I50" s="394"/>
      <c r="J50" s="394"/>
      <c r="K50" s="393">
        <f t="shared" si="11"/>
      </c>
      <c r="L50" s="178"/>
      <c r="M50" s="391">
        <f t="shared" si="10"/>
      </c>
      <c r="N50" s="394"/>
      <c r="O50" s="394"/>
      <c r="P50" s="393">
        <f t="shared" si="12"/>
      </c>
      <c r="Q50" s="178"/>
      <c r="R50" s="391">
        <f t="shared" si="14"/>
      </c>
      <c r="S50" s="394"/>
      <c r="T50" s="394"/>
      <c r="U50" s="393">
        <f t="shared" si="13"/>
      </c>
      <c r="V50" s="188"/>
      <c r="W50" s="189"/>
      <c r="X50" s="189"/>
      <c r="Y50" s="189"/>
      <c r="Z50" s="189"/>
    </row>
    <row r="51" spans="7:26" ht="12.75">
      <c r="G51" s="188"/>
      <c r="H51" s="391">
        <f t="shared" si="9"/>
      </c>
      <c r="I51" s="394"/>
      <c r="J51" s="394"/>
      <c r="K51" s="393">
        <f t="shared" si="11"/>
      </c>
      <c r="L51" s="178"/>
      <c r="M51" s="391">
        <f t="shared" si="10"/>
      </c>
      <c r="N51" s="394"/>
      <c r="O51" s="394"/>
      <c r="P51" s="393">
        <f t="shared" si="12"/>
      </c>
      <c r="Q51" s="178"/>
      <c r="R51" s="391">
        <f t="shared" si="14"/>
      </c>
      <c r="S51" s="394"/>
      <c r="T51" s="394"/>
      <c r="U51" s="393">
        <f t="shared" si="13"/>
      </c>
      <c r="V51" s="188"/>
      <c r="W51" s="189"/>
      <c r="X51" s="189"/>
      <c r="Y51" s="189"/>
      <c r="Z51" s="189"/>
    </row>
    <row r="52" spans="7:26" ht="12.75">
      <c r="G52" s="188"/>
      <c r="H52" s="391">
        <f t="shared" si="9"/>
      </c>
      <c r="I52" s="394"/>
      <c r="J52" s="394"/>
      <c r="K52" s="393">
        <f t="shared" si="11"/>
      </c>
      <c r="L52" s="178"/>
      <c r="M52" s="391">
        <f t="shared" si="10"/>
      </c>
      <c r="N52" s="394"/>
      <c r="O52" s="394"/>
      <c r="P52" s="393">
        <f t="shared" si="12"/>
      </c>
      <c r="Q52" s="178"/>
      <c r="R52" s="391">
        <f t="shared" si="14"/>
      </c>
      <c r="S52" s="394"/>
      <c r="T52" s="394"/>
      <c r="U52" s="393">
        <f t="shared" si="13"/>
      </c>
      <c r="V52" s="188"/>
      <c r="W52" s="189"/>
      <c r="X52" s="189"/>
      <c r="Y52" s="189"/>
      <c r="Z52" s="189"/>
    </row>
    <row r="53" spans="7:26" ht="12.75">
      <c r="G53" s="188"/>
      <c r="H53" s="391">
        <f t="shared" si="9"/>
      </c>
      <c r="I53" s="394"/>
      <c r="J53" s="394"/>
      <c r="K53" s="393">
        <f t="shared" si="11"/>
      </c>
      <c r="L53" s="178"/>
      <c r="M53" s="391">
        <f t="shared" si="10"/>
      </c>
      <c r="N53" s="394"/>
      <c r="O53" s="394"/>
      <c r="P53" s="393">
        <f t="shared" si="12"/>
      </c>
      <c r="Q53" s="178"/>
      <c r="R53" s="391">
        <f t="shared" si="14"/>
      </c>
      <c r="S53" s="394"/>
      <c r="T53" s="394"/>
      <c r="U53" s="393">
        <f t="shared" si="13"/>
      </c>
      <c r="V53" s="188"/>
      <c r="W53" s="189"/>
      <c r="X53" s="189"/>
      <c r="Y53" s="189"/>
      <c r="Z53" s="189"/>
    </row>
    <row r="54" spans="7:26" ht="12.75">
      <c r="G54" s="188"/>
      <c r="H54" s="391">
        <f t="shared" si="9"/>
      </c>
      <c r="I54" s="392"/>
      <c r="J54" s="392"/>
      <c r="K54" s="393">
        <f t="shared" si="11"/>
      </c>
      <c r="L54" s="178"/>
      <c r="M54" s="391">
        <f t="shared" si="10"/>
      </c>
      <c r="N54" s="392"/>
      <c r="O54" s="392"/>
      <c r="P54" s="393">
        <f t="shared" si="12"/>
      </c>
      <c r="Q54" s="178"/>
      <c r="R54" s="391">
        <f t="shared" si="14"/>
      </c>
      <c r="S54" s="392"/>
      <c r="T54" s="392"/>
      <c r="U54" s="393">
        <f t="shared" si="13"/>
      </c>
      <c r="V54" s="188"/>
      <c r="W54" s="189"/>
      <c r="X54" s="189"/>
      <c r="Y54" s="189"/>
      <c r="Z54" s="189"/>
    </row>
    <row r="55" spans="7:26" ht="12.75">
      <c r="G55" s="188"/>
      <c r="H55" s="391">
        <f t="shared" si="9"/>
      </c>
      <c r="I55" s="394"/>
      <c r="J55" s="394"/>
      <c r="K55" s="393">
        <f t="shared" si="11"/>
      </c>
      <c r="L55" s="178"/>
      <c r="M55" s="391">
        <f t="shared" si="10"/>
      </c>
      <c r="N55" s="394"/>
      <c r="O55" s="394"/>
      <c r="P55" s="393">
        <f t="shared" si="12"/>
      </c>
      <c r="Q55" s="178"/>
      <c r="R55" s="391">
        <f t="shared" si="14"/>
      </c>
      <c r="S55" s="394"/>
      <c r="T55" s="394"/>
      <c r="U55" s="393">
        <f t="shared" si="13"/>
      </c>
      <c r="V55" s="188"/>
      <c r="W55" s="189"/>
      <c r="X55" s="189"/>
      <c r="Y55" s="189"/>
      <c r="Z55" s="189"/>
    </row>
    <row r="56" spans="7:26" ht="12.75">
      <c r="G56" s="188"/>
      <c r="H56" s="391">
        <f t="shared" si="9"/>
      </c>
      <c r="I56" s="394"/>
      <c r="J56" s="394"/>
      <c r="K56" s="393">
        <f t="shared" si="11"/>
      </c>
      <c r="L56" s="178"/>
      <c r="M56" s="391">
        <f t="shared" si="10"/>
      </c>
      <c r="N56" s="394"/>
      <c r="O56" s="394"/>
      <c r="P56" s="393">
        <f t="shared" si="12"/>
      </c>
      <c r="Q56" s="178"/>
      <c r="R56" s="391">
        <f t="shared" si="14"/>
      </c>
      <c r="S56" s="394"/>
      <c r="T56" s="394"/>
      <c r="U56" s="393">
        <f t="shared" si="13"/>
      </c>
      <c r="V56" s="188"/>
      <c r="W56" s="189"/>
      <c r="X56" s="189"/>
      <c r="Y56" s="189"/>
      <c r="Z56" s="189"/>
    </row>
    <row r="57" spans="7:26" ht="12.75">
      <c r="G57" s="188"/>
      <c r="H57" s="391">
        <f t="shared" si="9"/>
      </c>
      <c r="I57" s="394"/>
      <c r="J57" s="394"/>
      <c r="K57" s="393">
        <f t="shared" si="11"/>
      </c>
      <c r="L57" s="178"/>
      <c r="M57" s="391">
        <f t="shared" si="10"/>
      </c>
      <c r="N57" s="394"/>
      <c r="O57" s="394"/>
      <c r="P57" s="393">
        <f t="shared" si="12"/>
      </c>
      <c r="Q57" s="178"/>
      <c r="R57" s="391">
        <f t="shared" si="14"/>
      </c>
      <c r="S57" s="394"/>
      <c r="T57" s="394"/>
      <c r="U57" s="393">
        <f t="shared" si="13"/>
      </c>
      <c r="V57" s="188"/>
      <c r="W57" s="189"/>
      <c r="X57" s="189"/>
      <c r="Y57" s="189"/>
      <c r="Z57" s="189"/>
    </row>
    <row r="58" spans="7:26" ht="12.75">
      <c r="G58" s="188"/>
      <c r="H58" s="391">
        <f t="shared" si="9"/>
      </c>
      <c r="I58" s="394"/>
      <c r="J58" s="394"/>
      <c r="K58" s="393">
        <f t="shared" si="11"/>
      </c>
      <c r="L58" s="178"/>
      <c r="M58" s="391">
        <f t="shared" si="10"/>
      </c>
      <c r="N58" s="394"/>
      <c r="O58" s="394"/>
      <c r="P58" s="393">
        <f t="shared" si="12"/>
      </c>
      <c r="Q58" s="178"/>
      <c r="R58" s="391">
        <f t="shared" si="14"/>
      </c>
      <c r="S58" s="394"/>
      <c r="T58" s="394"/>
      <c r="U58" s="393">
        <f t="shared" si="13"/>
      </c>
      <c r="V58" s="188"/>
      <c r="W58" s="189"/>
      <c r="X58" s="189"/>
      <c r="Y58" s="189"/>
      <c r="Z58" s="189"/>
    </row>
    <row r="59" spans="7:26" ht="12.75">
      <c r="G59" s="188"/>
      <c r="H59" s="391">
        <f t="shared" si="9"/>
      </c>
      <c r="I59" s="394"/>
      <c r="J59" s="394"/>
      <c r="K59" s="393">
        <f t="shared" si="11"/>
      </c>
      <c r="L59" s="178"/>
      <c r="M59" s="391">
        <f t="shared" si="10"/>
      </c>
      <c r="N59" s="394"/>
      <c r="O59" s="394"/>
      <c r="P59" s="393">
        <f t="shared" si="12"/>
      </c>
      <c r="Q59" s="178"/>
      <c r="R59" s="391">
        <f t="shared" si="14"/>
      </c>
      <c r="S59" s="394"/>
      <c r="T59" s="394"/>
      <c r="U59" s="393">
        <f t="shared" si="13"/>
      </c>
      <c r="V59" s="188"/>
      <c r="W59" s="189"/>
      <c r="X59" s="189"/>
      <c r="Y59" s="189"/>
      <c r="Z59" s="189"/>
    </row>
    <row r="60" spans="7:26" ht="12.75">
      <c r="G60" s="188"/>
      <c r="H60" s="391">
        <f t="shared" si="9"/>
      </c>
      <c r="I60" s="394"/>
      <c r="J60" s="394"/>
      <c r="K60" s="393">
        <f t="shared" si="11"/>
      </c>
      <c r="L60" s="178"/>
      <c r="M60" s="391">
        <f t="shared" si="10"/>
      </c>
      <c r="N60" s="394"/>
      <c r="O60" s="394"/>
      <c r="P60" s="393">
        <f t="shared" si="12"/>
      </c>
      <c r="Q60" s="178"/>
      <c r="R60" s="391">
        <f t="shared" si="14"/>
      </c>
      <c r="S60" s="394"/>
      <c r="T60" s="394"/>
      <c r="U60" s="393">
        <f t="shared" si="13"/>
      </c>
      <c r="V60" s="188"/>
      <c r="W60" s="189"/>
      <c r="X60" s="189"/>
      <c r="Y60" s="189"/>
      <c r="Z60" s="189"/>
    </row>
    <row r="61" spans="7:26" ht="12.75">
      <c r="G61" s="188"/>
      <c r="H61" s="391">
        <f t="shared" si="9"/>
      </c>
      <c r="I61" s="394"/>
      <c r="J61" s="394"/>
      <c r="K61" s="393">
        <f t="shared" si="11"/>
      </c>
      <c r="L61" s="178"/>
      <c r="M61" s="391">
        <f t="shared" si="10"/>
      </c>
      <c r="N61" s="394"/>
      <c r="O61" s="394"/>
      <c r="P61" s="393">
        <f t="shared" si="12"/>
      </c>
      <c r="Q61" s="178"/>
      <c r="R61" s="391">
        <f t="shared" si="14"/>
      </c>
      <c r="S61" s="394"/>
      <c r="T61" s="394"/>
      <c r="U61" s="393">
        <f t="shared" si="13"/>
      </c>
      <c r="V61" s="188"/>
      <c r="W61" s="189"/>
      <c r="X61" s="189"/>
      <c r="Y61" s="189"/>
      <c r="Z61" s="189"/>
    </row>
    <row r="62" spans="7:26" ht="12.75">
      <c r="G62" s="188"/>
      <c r="H62" s="391">
        <f t="shared" si="9"/>
      </c>
      <c r="I62" s="394"/>
      <c r="J62" s="394"/>
      <c r="K62" s="393">
        <f t="shared" si="11"/>
      </c>
      <c r="L62" s="178"/>
      <c r="M62" s="391">
        <f t="shared" si="10"/>
      </c>
      <c r="N62" s="394"/>
      <c r="O62" s="394"/>
      <c r="P62" s="393">
        <f t="shared" si="12"/>
      </c>
      <c r="Q62" s="178"/>
      <c r="R62" s="391">
        <f t="shared" si="14"/>
      </c>
      <c r="S62" s="394"/>
      <c r="T62" s="394"/>
      <c r="U62" s="393">
        <f t="shared" si="13"/>
      </c>
      <c r="V62" s="188"/>
      <c r="W62" s="189"/>
      <c r="X62" s="189"/>
      <c r="Y62" s="189"/>
      <c r="Z62" s="189"/>
    </row>
    <row r="63" spans="7:26" ht="12.75">
      <c r="G63" s="188"/>
      <c r="H63" s="391">
        <f t="shared" si="9"/>
      </c>
      <c r="I63" s="394"/>
      <c r="J63" s="394"/>
      <c r="K63" s="393">
        <f t="shared" si="11"/>
      </c>
      <c r="L63" s="178"/>
      <c r="M63" s="391">
        <f t="shared" si="10"/>
      </c>
      <c r="N63" s="394"/>
      <c r="O63" s="394"/>
      <c r="P63" s="393">
        <f t="shared" si="12"/>
      </c>
      <c r="Q63" s="178"/>
      <c r="R63" s="391">
        <f t="shared" si="14"/>
      </c>
      <c r="S63" s="394"/>
      <c r="T63" s="394"/>
      <c r="U63" s="393">
        <f t="shared" si="13"/>
      </c>
      <c r="V63" s="188"/>
      <c r="W63" s="189"/>
      <c r="X63" s="189"/>
      <c r="Y63" s="189"/>
      <c r="Z63" s="189"/>
    </row>
    <row r="64" spans="7:26" ht="12.75">
      <c r="G64" s="188"/>
      <c r="H64" s="391">
        <f t="shared" si="9"/>
      </c>
      <c r="I64" s="394"/>
      <c r="J64" s="394"/>
      <c r="K64" s="393">
        <f t="shared" si="11"/>
      </c>
      <c r="L64" s="178"/>
      <c r="M64" s="391">
        <f t="shared" si="10"/>
      </c>
      <c r="N64" s="394"/>
      <c r="O64" s="394"/>
      <c r="P64" s="393">
        <f t="shared" si="12"/>
      </c>
      <c r="Q64" s="178"/>
      <c r="R64" s="391">
        <f t="shared" si="14"/>
      </c>
      <c r="S64" s="394"/>
      <c r="T64" s="394"/>
      <c r="U64" s="393">
        <f t="shared" si="13"/>
      </c>
      <c r="V64" s="188"/>
      <c r="W64" s="189"/>
      <c r="X64" s="189"/>
      <c r="Y64" s="189"/>
      <c r="Z64" s="189"/>
    </row>
    <row r="65" spans="7:26" ht="12.75">
      <c r="G65" s="188"/>
      <c r="H65" s="391">
        <f t="shared" si="9"/>
      </c>
      <c r="I65" s="394"/>
      <c r="J65" s="394"/>
      <c r="K65" s="393">
        <f t="shared" si="11"/>
      </c>
      <c r="L65" s="178"/>
      <c r="M65" s="391">
        <f t="shared" si="10"/>
      </c>
      <c r="N65" s="394"/>
      <c r="O65" s="394"/>
      <c r="P65" s="393">
        <f t="shared" si="12"/>
      </c>
      <c r="Q65" s="178"/>
      <c r="R65" s="391">
        <f t="shared" si="14"/>
      </c>
      <c r="S65" s="394"/>
      <c r="T65" s="394"/>
      <c r="U65" s="393">
        <f t="shared" si="13"/>
      </c>
      <c r="V65" s="188"/>
      <c r="W65" s="189"/>
      <c r="X65" s="189"/>
      <c r="Y65" s="189"/>
      <c r="Z65" s="189"/>
    </row>
    <row r="66" spans="7:26" ht="12.75">
      <c r="G66" s="188"/>
      <c r="H66" s="391">
        <f t="shared" si="9"/>
      </c>
      <c r="I66" s="394"/>
      <c r="J66" s="394"/>
      <c r="K66" s="393">
        <f t="shared" si="11"/>
      </c>
      <c r="L66" s="178"/>
      <c r="M66" s="391">
        <f t="shared" si="10"/>
      </c>
      <c r="N66" s="394"/>
      <c r="O66" s="394"/>
      <c r="P66" s="393">
        <f t="shared" si="12"/>
      </c>
      <c r="Q66" s="178"/>
      <c r="R66" s="391">
        <f t="shared" si="14"/>
      </c>
      <c r="S66" s="394"/>
      <c r="T66" s="394"/>
      <c r="U66" s="393">
        <f t="shared" si="13"/>
      </c>
      <c r="V66" s="188"/>
      <c r="W66" s="189"/>
      <c r="X66" s="189"/>
      <c r="Y66" s="189"/>
      <c r="Z66" s="189"/>
    </row>
    <row r="67" spans="7:26" ht="12.75">
      <c r="G67" s="188"/>
      <c r="H67" s="391">
        <f t="shared" si="9"/>
      </c>
      <c r="I67" s="394"/>
      <c r="J67" s="394"/>
      <c r="K67" s="393">
        <f t="shared" si="11"/>
      </c>
      <c r="L67" s="178"/>
      <c r="M67" s="391">
        <f t="shared" si="10"/>
      </c>
      <c r="N67" s="394"/>
      <c r="O67" s="394"/>
      <c r="P67" s="393">
        <f t="shared" si="12"/>
      </c>
      <c r="Q67" s="178"/>
      <c r="R67" s="391">
        <f t="shared" si="14"/>
      </c>
      <c r="S67" s="394"/>
      <c r="T67" s="394"/>
      <c r="U67" s="393">
        <f t="shared" si="13"/>
      </c>
      <c r="V67" s="188"/>
      <c r="W67" s="189"/>
      <c r="X67" s="189"/>
      <c r="Y67" s="189"/>
      <c r="Z67" s="189"/>
    </row>
    <row r="68" spans="7:26" ht="12.75">
      <c r="G68" s="188"/>
      <c r="H68" s="391">
        <f t="shared" si="9"/>
      </c>
      <c r="I68" s="394"/>
      <c r="J68" s="394"/>
      <c r="K68" s="393">
        <f t="shared" si="11"/>
      </c>
      <c r="L68" s="178"/>
      <c r="M68" s="391">
        <f t="shared" si="10"/>
      </c>
      <c r="N68" s="394"/>
      <c r="O68" s="394"/>
      <c r="P68" s="393">
        <f t="shared" si="12"/>
      </c>
      <c r="Q68" s="178"/>
      <c r="R68" s="391">
        <f t="shared" si="14"/>
      </c>
      <c r="S68" s="394"/>
      <c r="T68" s="394"/>
      <c r="U68" s="393">
        <f t="shared" si="13"/>
      </c>
      <c r="V68" s="188"/>
      <c r="W68" s="189"/>
      <c r="X68" s="189"/>
      <c r="Y68" s="189"/>
      <c r="Z68" s="189"/>
    </row>
    <row r="69" spans="7:26" ht="12.75">
      <c r="G69" s="188"/>
      <c r="H69" s="391">
        <f t="shared" si="9"/>
      </c>
      <c r="I69" s="394"/>
      <c r="J69" s="394"/>
      <c r="K69" s="393">
        <f t="shared" si="11"/>
      </c>
      <c r="L69" s="178"/>
      <c r="M69" s="391">
        <f t="shared" si="10"/>
      </c>
      <c r="N69" s="394"/>
      <c r="O69" s="394"/>
      <c r="P69" s="393">
        <f t="shared" si="12"/>
      </c>
      <c r="Q69" s="178"/>
      <c r="R69" s="391">
        <f t="shared" si="14"/>
      </c>
      <c r="S69" s="394"/>
      <c r="T69" s="394"/>
      <c r="U69" s="393">
        <f t="shared" si="13"/>
      </c>
      <c r="V69" s="188"/>
      <c r="W69" s="189"/>
      <c r="X69" s="189"/>
      <c r="Y69" s="189"/>
      <c r="Z69" s="189"/>
    </row>
    <row r="70" spans="7:26" ht="12.75">
      <c r="G70" s="188"/>
      <c r="H70" s="391">
        <f t="shared" si="9"/>
      </c>
      <c r="I70" s="394"/>
      <c r="J70" s="394"/>
      <c r="K70" s="393">
        <f t="shared" si="11"/>
      </c>
      <c r="L70" s="178"/>
      <c r="M70" s="391">
        <f t="shared" si="10"/>
      </c>
      <c r="N70" s="394"/>
      <c r="O70" s="394"/>
      <c r="P70" s="393">
        <f t="shared" si="12"/>
      </c>
      <c r="Q70" s="178"/>
      <c r="R70" s="391">
        <f t="shared" si="14"/>
      </c>
      <c r="S70" s="394"/>
      <c r="T70" s="394"/>
      <c r="U70" s="393">
        <f t="shared" si="13"/>
      </c>
      <c r="V70" s="188"/>
      <c r="W70" s="189"/>
      <c r="X70" s="189"/>
      <c r="Y70" s="189"/>
      <c r="Z70" s="189"/>
    </row>
    <row r="71" spans="7:26" ht="12.75">
      <c r="G71" s="188"/>
      <c r="H71" s="391">
        <f t="shared" si="9"/>
      </c>
      <c r="I71" s="394"/>
      <c r="J71" s="394"/>
      <c r="K71" s="393">
        <f t="shared" si="11"/>
      </c>
      <c r="L71" s="178"/>
      <c r="M71" s="391">
        <f t="shared" si="10"/>
      </c>
      <c r="N71" s="394"/>
      <c r="O71" s="394"/>
      <c r="P71" s="393">
        <f t="shared" si="12"/>
      </c>
      <c r="Q71" s="178"/>
      <c r="R71" s="391">
        <f t="shared" si="14"/>
      </c>
      <c r="S71" s="394"/>
      <c r="T71" s="394"/>
      <c r="U71" s="393">
        <f t="shared" si="13"/>
      </c>
      <c r="V71" s="188"/>
      <c r="W71" s="189"/>
      <c r="X71" s="189"/>
      <c r="Y71" s="189"/>
      <c r="Z71" s="189"/>
    </row>
    <row r="72" spans="7:26" ht="12.75">
      <c r="G72" s="188"/>
      <c r="H72" s="391">
        <f t="shared" si="9"/>
      </c>
      <c r="I72" s="394"/>
      <c r="J72" s="394"/>
      <c r="K72" s="393">
        <f t="shared" si="11"/>
      </c>
      <c r="L72" s="178"/>
      <c r="M72" s="391">
        <f t="shared" si="10"/>
      </c>
      <c r="N72" s="394"/>
      <c r="O72" s="394"/>
      <c r="P72" s="393">
        <f t="shared" si="12"/>
      </c>
      <c r="Q72" s="178"/>
      <c r="R72" s="391">
        <f t="shared" si="14"/>
      </c>
      <c r="S72" s="394"/>
      <c r="T72" s="394"/>
      <c r="U72" s="393">
        <f t="shared" si="13"/>
      </c>
      <c r="V72" s="188"/>
      <c r="W72" s="189"/>
      <c r="X72" s="189"/>
      <c r="Y72" s="189"/>
      <c r="Z72" s="189"/>
    </row>
    <row r="73" spans="7:26" ht="12.75">
      <c r="G73" s="188"/>
      <c r="H73" s="391">
        <f t="shared" si="9"/>
      </c>
      <c r="I73" s="394"/>
      <c r="J73" s="394"/>
      <c r="K73" s="393">
        <f t="shared" si="11"/>
      </c>
      <c r="L73" s="178"/>
      <c r="M73" s="391">
        <f t="shared" si="10"/>
      </c>
      <c r="N73" s="394"/>
      <c r="O73" s="394"/>
      <c r="P73" s="393">
        <f t="shared" si="12"/>
      </c>
      <c r="Q73" s="178"/>
      <c r="R73" s="391">
        <f t="shared" si="14"/>
      </c>
      <c r="S73" s="394"/>
      <c r="T73" s="394"/>
      <c r="U73" s="393">
        <f t="shared" si="13"/>
      </c>
      <c r="V73" s="188"/>
      <c r="W73" s="189"/>
      <c r="X73" s="189"/>
      <c r="Y73" s="189"/>
      <c r="Z73" s="189"/>
    </row>
    <row r="74" spans="7:22" ht="12.75">
      <c r="G74" s="188"/>
      <c r="H74" s="391">
        <f t="shared" si="9"/>
      </c>
      <c r="I74" s="394"/>
      <c r="J74" s="394"/>
      <c r="K74" s="393">
        <f t="shared" si="11"/>
      </c>
      <c r="L74" s="178"/>
      <c r="M74" s="391">
        <f t="shared" si="10"/>
      </c>
      <c r="N74" s="394"/>
      <c r="O74" s="394"/>
      <c r="P74" s="393">
        <f t="shared" si="12"/>
      </c>
      <c r="Q74" s="178"/>
      <c r="R74" s="391">
        <f t="shared" si="14"/>
      </c>
      <c r="S74" s="394"/>
      <c r="T74" s="394"/>
      <c r="U74" s="393">
        <f t="shared" si="13"/>
      </c>
      <c r="V74" s="39"/>
    </row>
    <row r="75" spans="7:22" ht="12.75">
      <c r="G75" s="188"/>
      <c r="H75" s="391">
        <f t="shared" si="9"/>
      </c>
      <c r="I75" s="394"/>
      <c r="J75" s="394"/>
      <c r="K75" s="393">
        <f t="shared" si="11"/>
      </c>
      <c r="L75" s="178"/>
      <c r="M75" s="391">
        <f t="shared" si="10"/>
      </c>
      <c r="N75" s="394"/>
      <c r="O75" s="394"/>
      <c r="P75" s="393">
        <f t="shared" si="12"/>
      </c>
      <c r="Q75" s="178"/>
      <c r="R75" s="391">
        <f t="shared" si="14"/>
      </c>
      <c r="S75" s="394"/>
      <c r="T75" s="394"/>
      <c r="U75" s="393">
        <f t="shared" si="13"/>
      </c>
      <c r="V75" s="39"/>
    </row>
    <row r="76" spans="7:22" ht="12.75">
      <c r="G76" s="188"/>
      <c r="H76" s="391">
        <f t="shared" si="9"/>
      </c>
      <c r="I76" s="394"/>
      <c r="J76" s="394"/>
      <c r="K76" s="393">
        <f t="shared" si="11"/>
      </c>
      <c r="L76" s="178"/>
      <c r="M76" s="391">
        <f t="shared" si="10"/>
      </c>
      <c r="N76" s="394"/>
      <c r="O76" s="394"/>
      <c r="P76" s="393">
        <f t="shared" si="12"/>
      </c>
      <c r="Q76" s="178"/>
      <c r="R76" s="391">
        <f t="shared" si="14"/>
      </c>
      <c r="S76" s="394"/>
      <c r="T76" s="394"/>
      <c r="U76" s="393">
        <f t="shared" si="13"/>
      </c>
      <c r="V76" s="39"/>
    </row>
    <row r="77" spans="7:22" ht="12.75">
      <c r="G77" s="188"/>
      <c r="H77" s="391">
        <f t="shared" si="9"/>
      </c>
      <c r="I77" s="394"/>
      <c r="J77" s="394"/>
      <c r="K77" s="393">
        <f t="shared" si="11"/>
      </c>
      <c r="L77" s="178"/>
      <c r="M77" s="391">
        <f t="shared" si="10"/>
      </c>
      <c r="N77" s="394"/>
      <c r="O77" s="394"/>
      <c r="P77" s="393">
        <f t="shared" si="12"/>
      </c>
      <c r="Q77" s="178"/>
      <c r="R77" s="391">
        <f t="shared" si="14"/>
      </c>
      <c r="S77" s="394"/>
      <c r="T77" s="394"/>
      <c r="U77" s="393">
        <f t="shared" si="13"/>
      </c>
      <c r="V77" s="39"/>
    </row>
    <row r="78" spans="7:22" ht="12.75">
      <c r="G78" s="188"/>
      <c r="H78" s="391">
        <f t="shared" si="9"/>
      </c>
      <c r="I78" s="394"/>
      <c r="J78" s="394"/>
      <c r="K78" s="393">
        <f t="shared" si="11"/>
      </c>
      <c r="L78" s="178"/>
      <c r="M78" s="391">
        <f t="shared" si="10"/>
      </c>
      <c r="N78" s="394"/>
      <c r="O78" s="394"/>
      <c r="P78" s="393">
        <f t="shared" si="12"/>
      </c>
      <c r="Q78" s="178"/>
      <c r="R78" s="391">
        <f t="shared" si="14"/>
      </c>
      <c r="S78" s="394"/>
      <c r="T78" s="394"/>
      <c r="U78" s="393">
        <f t="shared" si="13"/>
      </c>
      <c r="V78" s="39"/>
    </row>
    <row r="79" spans="1:22" ht="7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</sheetData>
  <sheetProtection/>
  <mergeCells count="8">
    <mergeCell ref="R1:U1"/>
    <mergeCell ref="G38:H38"/>
    <mergeCell ref="G39:H39"/>
    <mergeCell ref="G40:H40"/>
    <mergeCell ref="G41:H41"/>
    <mergeCell ref="G42:H42"/>
    <mergeCell ref="H1:K1"/>
    <mergeCell ref="M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N46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39" sqref="A39:IV39"/>
    </sheetView>
  </sheetViews>
  <sheetFormatPr defaultColWidth="11.421875" defaultRowHeight="12.75" outlineLevelCol="1"/>
  <cols>
    <col min="1" max="1" width="9.00390625" style="378" customWidth="1"/>
    <col min="2" max="2" width="26.57421875" style="378" customWidth="1"/>
    <col min="3" max="3" width="25.8515625" style="378" customWidth="1"/>
    <col min="4" max="4" width="11.421875" style="386" customWidth="1"/>
    <col min="5" max="5" width="10.28125" style="171" customWidth="1"/>
    <col min="6" max="6" width="8.00390625" style="6" customWidth="1"/>
    <col min="7" max="7" width="6.00390625" style="3" hidden="1" customWidth="1" outlineLevel="1"/>
    <col min="8" max="8" width="13.421875" style="386" customWidth="1" collapsed="1"/>
    <col min="9" max="14" width="11.421875" style="378" hidden="1" customWidth="1" outlineLevel="1"/>
    <col min="15" max="15" width="11.421875" style="378" customWidth="1" collapsed="1"/>
    <col min="16" max="16" width="11.421875" style="378" customWidth="1"/>
    <col min="17" max="17" width="11.421875" style="378" hidden="1" customWidth="1" outlineLevel="1"/>
    <col min="18" max="18" width="11.421875" style="378" customWidth="1" collapsed="1"/>
    <col min="19" max="22" width="11.421875" style="378" customWidth="1"/>
    <col min="23" max="24" width="11.421875" style="379" customWidth="1"/>
    <col min="25" max="16384" width="11.421875" style="378" customWidth="1"/>
  </cols>
  <sheetData>
    <row r="1" spans="1:14" ht="33.75" customHeight="1">
      <c r="A1" s="372" t="s">
        <v>0</v>
      </c>
      <c r="B1" s="373" t="s">
        <v>1</v>
      </c>
      <c r="C1" s="374" t="s">
        <v>2</v>
      </c>
      <c r="D1" s="395" t="s">
        <v>3</v>
      </c>
      <c r="E1" s="387" t="s">
        <v>4</v>
      </c>
      <c r="F1" s="249" t="s">
        <v>44</v>
      </c>
      <c r="G1" s="222"/>
      <c r="H1" s="375" t="s">
        <v>197</v>
      </c>
      <c r="I1" s="376">
        <v>16</v>
      </c>
      <c r="J1" s="376">
        <v>8</v>
      </c>
      <c r="K1" s="376">
        <v>4</v>
      </c>
      <c r="L1" s="376" t="s">
        <v>66</v>
      </c>
      <c r="M1" s="377" t="s">
        <v>56</v>
      </c>
      <c r="N1" s="377" t="s">
        <v>57</v>
      </c>
    </row>
    <row r="2" spans="1:14" ht="12.75">
      <c r="A2" s="380" t="s">
        <v>235</v>
      </c>
      <c r="B2" s="380" t="s">
        <v>236</v>
      </c>
      <c r="C2" s="380" t="s">
        <v>237</v>
      </c>
      <c r="D2" s="381" t="str">
        <f>VLOOKUP(A2,TabOppsett,6,FALSE)</f>
        <v>A</v>
      </c>
      <c r="E2" s="14" t="str">
        <f>Place</f>
        <v>G20</v>
      </c>
      <c r="F2" s="5">
        <f>FightNo</f>
        <v>7</v>
      </c>
      <c r="G2" s="1">
        <f aca="true" t="shared" si="0" ref="G2:G46">IF(A1&lt;&gt;A2,2,G1+1)</f>
        <v>2</v>
      </c>
      <c r="H2" s="381">
        <v>5</v>
      </c>
      <c r="I2" s="380"/>
      <c r="J2" s="380"/>
      <c r="K2" s="380">
        <v>6</v>
      </c>
      <c r="L2" s="380"/>
      <c r="M2" s="380"/>
      <c r="N2" s="380"/>
    </row>
    <row r="3" spans="1:14" ht="12.75">
      <c r="A3" s="380" t="s">
        <v>235</v>
      </c>
      <c r="B3" s="380" t="s">
        <v>288</v>
      </c>
      <c r="C3" s="380" t="s">
        <v>289</v>
      </c>
      <c r="D3" s="381" t="s">
        <v>5</v>
      </c>
      <c r="E3" s="14" t="str">
        <f>Place</f>
        <v>G22</v>
      </c>
      <c r="F3" s="5">
        <f>FightNo</f>
        <v>7</v>
      </c>
      <c r="G3" s="1">
        <f t="shared" si="0"/>
        <v>3</v>
      </c>
      <c r="H3" s="381">
        <v>3</v>
      </c>
      <c r="I3" s="380"/>
      <c r="J3" s="380"/>
      <c r="K3" s="380">
        <v>10</v>
      </c>
      <c r="L3" s="380">
        <v>1</v>
      </c>
      <c r="M3" s="380">
        <v>8</v>
      </c>
      <c r="N3" s="380"/>
    </row>
    <row r="4" spans="1:14" ht="12.75">
      <c r="A4" s="380" t="s">
        <v>235</v>
      </c>
      <c r="B4" s="380" t="s">
        <v>238</v>
      </c>
      <c r="C4" s="380" t="s">
        <v>237</v>
      </c>
      <c r="D4" s="381" t="s">
        <v>5</v>
      </c>
      <c r="E4" s="14" t="str">
        <f>Place</f>
        <v>Q20</v>
      </c>
      <c r="F4" s="5">
        <f>FightNo</f>
        <v>8</v>
      </c>
      <c r="G4" s="1">
        <f t="shared" si="0"/>
        <v>4</v>
      </c>
      <c r="H4" s="381">
        <v>4</v>
      </c>
      <c r="I4" s="380"/>
      <c r="J4" s="380"/>
      <c r="K4" s="380">
        <v>18</v>
      </c>
      <c r="L4" s="380">
        <v>3</v>
      </c>
      <c r="M4" s="380">
        <v>6</v>
      </c>
      <c r="N4" s="380"/>
    </row>
    <row r="5" spans="1:14" ht="12.75">
      <c r="A5" s="380" t="s">
        <v>235</v>
      </c>
      <c r="B5" s="380" t="s">
        <v>290</v>
      </c>
      <c r="C5" s="380" t="s">
        <v>289</v>
      </c>
      <c r="D5" s="381" t="s">
        <v>5</v>
      </c>
      <c r="E5" s="14" t="str">
        <f>Place</f>
        <v>Q22</v>
      </c>
      <c r="F5" s="5">
        <f>FightNo</f>
        <v>8</v>
      </c>
      <c r="G5" s="1">
        <f t="shared" si="0"/>
        <v>5</v>
      </c>
      <c r="H5" s="381">
        <v>5</v>
      </c>
      <c r="I5" s="380"/>
      <c r="J5" s="380"/>
      <c r="K5" s="380">
        <v>13</v>
      </c>
      <c r="L5" s="380"/>
      <c r="M5" s="380"/>
      <c r="N5" s="380"/>
    </row>
    <row r="6" spans="1:14" ht="12.75">
      <c r="A6" s="380" t="s">
        <v>235</v>
      </c>
      <c r="B6" s="380" t="s">
        <v>263</v>
      </c>
      <c r="C6" s="380" t="s">
        <v>202</v>
      </c>
      <c r="D6" s="381" t="s">
        <v>5</v>
      </c>
      <c r="E6" s="14" t="str">
        <f>Place</f>
        <v>I42</v>
      </c>
      <c r="F6" s="5">
        <f>FightNo</f>
        <v>9</v>
      </c>
      <c r="G6" s="1">
        <f t="shared" si="0"/>
        <v>6</v>
      </c>
      <c r="H6" s="381">
        <v>1</v>
      </c>
      <c r="I6" s="380"/>
      <c r="J6" s="380"/>
      <c r="K6" s="380"/>
      <c r="L6" s="380">
        <v>11</v>
      </c>
      <c r="M6" s="380"/>
      <c r="N6" s="380">
        <v>13</v>
      </c>
    </row>
    <row r="7" spans="1:14" ht="13.5" thickBot="1">
      <c r="A7" s="382" t="s">
        <v>235</v>
      </c>
      <c r="B7" s="382" t="s">
        <v>284</v>
      </c>
      <c r="C7" s="382" t="s">
        <v>193</v>
      </c>
      <c r="D7" s="383" t="s">
        <v>5</v>
      </c>
      <c r="E7" s="403" t="str">
        <f>Place</f>
        <v>O42</v>
      </c>
      <c r="F7" s="404">
        <f>FightNo</f>
        <v>10</v>
      </c>
      <c r="G7" s="1">
        <f t="shared" si="0"/>
        <v>7</v>
      </c>
      <c r="H7" s="383">
        <v>2</v>
      </c>
      <c r="I7" s="380"/>
      <c r="J7" s="380"/>
      <c r="K7" s="380"/>
      <c r="L7" s="380">
        <v>13</v>
      </c>
      <c r="M7" s="380"/>
      <c r="N7" s="380">
        <v>9</v>
      </c>
    </row>
    <row r="8" spans="1:14" ht="12.75">
      <c r="A8" s="380" t="s">
        <v>239</v>
      </c>
      <c r="B8" s="380" t="s">
        <v>240</v>
      </c>
      <c r="C8" s="380" t="s">
        <v>237</v>
      </c>
      <c r="D8" s="381" t="s">
        <v>5</v>
      </c>
      <c r="E8" s="14" t="str">
        <f>Place</f>
        <v>L31</v>
      </c>
      <c r="F8" s="5" t="str">
        <f>FightNo</f>
        <v>Finale 4</v>
      </c>
      <c r="G8" s="1">
        <f t="shared" si="0"/>
        <v>2</v>
      </c>
      <c r="H8" s="381">
        <v>1</v>
      </c>
      <c r="I8" s="380"/>
      <c r="J8" s="380"/>
      <c r="K8" s="380"/>
      <c r="L8" s="380"/>
      <c r="M8" s="380"/>
      <c r="N8" s="380">
        <v>11</v>
      </c>
    </row>
    <row r="9" spans="1:14" ht="13.5" thickBot="1">
      <c r="A9" s="382" t="s">
        <v>239</v>
      </c>
      <c r="B9" s="382" t="s">
        <v>280</v>
      </c>
      <c r="C9" s="382" t="s">
        <v>281</v>
      </c>
      <c r="D9" s="383" t="s">
        <v>5</v>
      </c>
      <c r="E9" s="403" t="str">
        <f>Place</f>
        <v>L33</v>
      </c>
      <c r="F9" s="404" t="str">
        <f>FightNo</f>
        <v>Finale 4</v>
      </c>
      <c r="G9" s="1">
        <f t="shared" si="0"/>
        <v>3</v>
      </c>
      <c r="H9" s="383">
        <v>2</v>
      </c>
      <c r="I9" s="380"/>
      <c r="J9" s="380"/>
      <c r="K9" s="380"/>
      <c r="L9" s="380"/>
      <c r="M9" s="380"/>
      <c r="N9" s="380">
        <v>1</v>
      </c>
    </row>
    <row r="10" spans="1:14" ht="12.75">
      <c r="A10" s="380" t="s">
        <v>230</v>
      </c>
      <c r="B10" s="380" t="s">
        <v>231</v>
      </c>
      <c r="C10" s="380" t="s">
        <v>229</v>
      </c>
      <c r="D10" s="381" t="s">
        <v>5</v>
      </c>
      <c r="E10" s="14" t="str">
        <f>Place</f>
        <v>G20</v>
      </c>
      <c r="F10" s="5">
        <f>FightNo</f>
        <v>1</v>
      </c>
      <c r="G10" s="1">
        <f t="shared" si="0"/>
        <v>2</v>
      </c>
      <c r="H10" s="381">
        <v>5</v>
      </c>
      <c r="I10" s="380"/>
      <c r="J10" s="380"/>
      <c r="K10" s="380">
        <v>5</v>
      </c>
      <c r="L10" s="380"/>
      <c r="M10" s="380"/>
      <c r="N10" s="380"/>
    </row>
    <row r="11" spans="1:14" ht="12.75">
      <c r="A11" s="380" t="s">
        <v>230</v>
      </c>
      <c r="B11" s="380" t="s">
        <v>243</v>
      </c>
      <c r="C11" s="380" t="s">
        <v>237</v>
      </c>
      <c r="D11" s="381" t="s">
        <v>5</v>
      </c>
      <c r="E11" s="14" t="str">
        <f>Place</f>
        <v>G22</v>
      </c>
      <c r="F11" s="5">
        <f>FightNo</f>
        <v>1</v>
      </c>
      <c r="G11" s="1">
        <f t="shared" si="0"/>
        <v>3</v>
      </c>
      <c r="H11" s="381">
        <v>1</v>
      </c>
      <c r="I11" s="380"/>
      <c r="J11" s="380"/>
      <c r="K11" s="380">
        <v>12</v>
      </c>
      <c r="L11" s="380">
        <v>7</v>
      </c>
      <c r="M11" s="380"/>
      <c r="N11" s="380">
        <v>14</v>
      </c>
    </row>
    <row r="12" spans="1:14" ht="12.75">
      <c r="A12" s="380" t="s">
        <v>230</v>
      </c>
      <c r="B12" s="380" t="s">
        <v>244</v>
      </c>
      <c r="C12" s="380" t="s">
        <v>237</v>
      </c>
      <c r="D12" s="381" t="s">
        <v>5</v>
      </c>
      <c r="E12" s="14" t="str">
        <f>Place</f>
        <v>G60</v>
      </c>
      <c r="F12" s="5">
        <f>FightNo</f>
        <v>2</v>
      </c>
      <c r="G12" s="1">
        <f t="shared" si="0"/>
        <v>4</v>
      </c>
      <c r="H12" s="381">
        <v>5</v>
      </c>
      <c r="I12" s="380"/>
      <c r="J12" s="380"/>
      <c r="K12" s="380">
        <v>5</v>
      </c>
      <c r="L12" s="380"/>
      <c r="M12" s="380"/>
      <c r="N12" s="380"/>
    </row>
    <row r="13" spans="1:14" ht="12.75">
      <c r="A13" s="380" t="s">
        <v>230</v>
      </c>
      <c r="B13" s="380" t="s">
        <v>259</v>
      </c>
      <c r="C13" s="380" t="s">
        <v>258</v>
      </c>
      <c r="D13" s="381" t="s">
        <v>5</v>
      </c>
      <c r="E13" s="14" t="str">
        <f>Place</f>
        <v>G62</v>
      </c>
      <c r="F13" s="5">
        <f>FightNo</f>
        <v>2</v>
      </c>
      <c r="G13" s="1">
        <f t="shared" si="0"/>
        <v>5</v>
      </c>
      <c r="H13" s="381">
        <v>4</v>
      </c>
      <c r="I13" s="380"/>
      <c r="J13" s="380"/>
      <c r="K13" s="380">
        <v>6</v>
      </c>
      <c r="L13" s="380">
        <v>2</v>
      </c>
      <c r="M13" s="380">
        <v>5</v>
      </c>
      <c r="N13" s="380"/>
    </row>
    <row r="14" spans="1:14" ht="12.75">
      <c r="A14" s="380" t="s">
        <v>230</v>
      </c>
      <c r="B14" s="380" t="s">
        <v>245</v>
      </c>
      <c r="C14" s="380" t="s">
        <v>237</v>
      </c>
      <c r="D14" s="381" t="s">
        <v>5</v>
      </c>
      <c r="E14" s="14" t="str">
        <f>Place</f>
        <v>Q20</v>
      </c>
      <c r="F14" s="5">
        <f>FightNo</f>
        <v>3</v>
      </c>
      <c r="G14" s="1">
        <f t="shared" si="0"/>
        <v>6</v>
      </c>
      <c r="H14" s="381">
        <v>5</v>
      </c>
      <c r="I14" s="380"/>
      <c r="J14" s="380"/>
      <c r="K14" s="380">
        <v>4</v>
      </c>
      <c r="L14" s="380"/>
      <c r="M14" s="380"/>
      <c r="N14" s="380"/>
    </row>
    <row r="15" spans="1:14" ht="12.75">
      <c r="A15" s="380" t="s">
        <v>230</v>
      </c>
      <c r="B15" s="380" t="s">
        <v>260</v>
      </c>
      <c r="C15" s="380" t="s">
        <v>258</v>
      </c>
      <c r="D15" s="381" t="s">
        <v>5</v>
      </c>
      <c r="E15" s="14" t="str">
        <f>Place</f>
        <v>Q22</v>
      </c>
      <c r="F15" s="5">
        <f>FightNo</f>
        <v>3</v>
      </c>
      <c r="G15" s="1">
        <f t="shared" si="0"/>
        <v>7</v>
      </c>
      <c r="H15" s="381">
        <v>3</v>
      </c>
      <c r="I15" s="380"/>
      <c r="J15" s="380"/>
      <c r="K15" s="380">
        <v>6</v>
      </c>
      <c r="L15" s="380">
        <v>7</v>
      </c>
      <c r="M15" s="380">
        <v>6</v>
      </c>
      <c r="N15" s="380"/>
    </row>
    <row r="16" spans="1:14" ht="12.75">
      <c r="A16" s="380" t="s">
        <v>230</v>
      </c>
      <c r="B16" s="380" t="s">
        <v>268</v>
      </c>
      <c r="C16" s="380" t="s">
        <v>269</v>
      </c>
      <c r="D16" s="381" t="s">
        <v>5</v>
      </c>
      <c r="E16" s="14" t="str">
        <f>Place</f>
        <v>Q60</v>
      </c>
      <c r="F16" s="5">
        <f>FightNo</f>
        <v>4</v>
      </c>
      <c r="G16" s="1">
        <f t="shared" si="0"/>
        <v>8</v>
      </c>
      <c r="H16" s="381">
        <v>5</v>
      </c>
      <c r="I16" s="380"/>
      <c r="J16" s="380"/>
      <c r="K16" s="380">
        <v>2</v>
      </c>
      <c r="L16" s="380"/>
      <c r="M16" s="380"/>
      <c r="N16" s="380"/>
    </row>
    <row r="17" spans="1:14" ht="13.5" thickBot="1">
      <c r="A17" s="382" t="s">
        <v>230</v>
      </c>
      <c r="B17" s="382" t="s">
        <v>276</v>
      </c>
      <c r="C17" s="382" t="s">
        <v>275</v>
      </c>
      <c r="D17" s="383" t="s">
        <v>5</v>
      </c>
      <c r="E17" s="403" t="str">
        <f>Place</f>
        <v>Q62</v>
      </c>
      <c r="F17" s="404">
        <f>FightNo</f>
        <v>4</v>
      </c>
      <c r="G17" s="1">
        <f t="shared" si="0"/>
        <v>9</v>
      </c>
      <c r="H17" s="383">
        <v>2</v>
      </c>
      <c r="I17" s="380"/>
      <c r="J17" s="380"/>
      <c r="K17" s="380">
        <v>5</v>
      </c>
      <c r="L17" s="380">
        <v>9</v>
      </c>
      <c r="M17" s="380"/>
      <c r="N17" s="380">
        <v>4</v>
      </c>
    </row>
    <row r="18" spans="1:14" ht="12.75">
      <c r="A18" s="380" t="s">
        <v>253</v>
      </c>
      <c r="B18" s="380" t="s">
        <v>254</v>
      </c>
      <c r="C18" s="380" t="s">
        <v>252</v>
      </c>
      <c r="D18" s="381" t="s">
        <v>5</v>
      </c>
      <c r="E18" s="14" t="str">
        <f>Place</f>
        <v>I40</v>
      </c>
      <c r="F18" s="5" t="str">
        <f>FightNo</f>
        <v>Semi</v>
      </c>
      <c r="G18" s="1">
        <f t="shared" si="0"/>
        <v>2</v>
      </c>
      <c r="H18" s="381">
        <v>4</v>
      </c>
      <c r="I18" s="380"/>
      <c r="J18" s="380"/>
      <c r="K18" s="380"/>
      <c r="L18" s="380">
        <v>0</v>
      </c>
      <c r="M18" s="380">
        <v>6</v>
      </c>
      <c r="N18" s="380"/>
    </row>
    <row r="19" spans="1:14" ht="12.75">
      <c r="A19" s="380" t="s">
        <v>253</v>
      </c>
      <c r="B19" s="380" t="s">
        <v>265</v>
      </c>
      <c r="C19" s="380" t="s">
        <v>202</v>
      </c>
      <c r="D19" s="381" t="s">
        <v>5</v>
      </c>
      <c r="E19" s="14" t="str">
        <f>Place</f>
        <v>I42</v>
      </c>
      <c r="F19" s="5" t="str">
        <f>FightNo</f>
        <v>Semi</v>
      </c>
      <c r="G19" s="1">
        <f t="shared" si="0"/>
        <v>3</v>
      </c>
      <c r="H19" s="381">
        <v>1</v>
      </c>
      <c r="I19" s="380"/>
      <c r="J19" s="380"/>
      <c r="K19" s="380"/>
      <c r="L19" s="380">
        <v>10</v>
      </c>
      <c r="M19" s="380"/>
      <c r="N19" s="380">
        <v>3</v>
      </c>
    </row>
    <row r="20" spans="1:14" ht="12.75">
      <c r="A20" s="380" t="s">
        <v>253</v>
      </c>
      <c r="B20" s="380" t="s">
        <v>277</v>
      </c>
      <c r="C20" s="380" t="s">
        <v>275</v>
      </c>
      <c r="D20" s="381" t="s">
        <v>5</v>
      </c>
      <c r="E20" s="14" t="str">
        <f>Place</f>
        <v>O40</v>
      </c>
      <c r="F20" s="5" t="str">
        <f>FightNo</f>
        <v>Semi</v>
      </c>
      <c r="G20" s="1">
        <f t="shared" si="0"/>
        <v>4</v>
      </c>
      <c r="H20" s="381">
        <v>3</v>
      </c>
      <c r="I20" s="380"/>
      <c r="J20" s="380"/>
      <c r="K20" s="380"/>
      <c r="L20" s="380">
        <v>10</v>
      </c>
      <c r="M20" s="380">
        <v>8</v>
      </c>
      <c r="N20" s="380"/>
    </row>
    <row r="21" spans="1:14" ht="13.5" thickBot="1">
      <c r="A21" s="382" t="s">
        <v>253</v>
      </c>
      <c r="B21" s="382" t="s">
        <v>292</v>
      </c>
      <c r="C21" s="382" t="s">
        <v>293</v>
      </c>
      <c r="D21" s="383" t="s">
        <v>5</v>
      </c>
      <c r="E21" s="403" t="str">
        <f>Place</f>
        <v>O42</v>
      </c>
      <c r="F21" s="404" t="str">
        <f>FightNo</f>
        <v>Semi</v>
      </c>
      <c r="G21" s="1">
        <f t="shared" si="0"/>
        <v>5</v>
      </c>
      <c r="H21" s="383">
        <v>2</v>
      </c>
      <c r="I21" s="380"/>
      <c r="J21" s="380"/>
      <c r="K21" s="380"/>
      <c r="L21" s="380">
        <v>17</v>
      </c>
      <c r="M21" s="380"/>
      <c r="N21" s="380" t="s">
        <v>327</v>
      </c>
    </row>
    <row r="22" spans="1:14" ht="12.75">
      <c r="A22" s="380" t="s">
        <v>241</v>
      </c>
      <c r="B22" s="380" t="s">
        <v>242</v>
      </c>
      <c r="C22" s="380" t="s">
        <v>237</v>
      </c>
      <c r="D22" s="381" t="s">
        <v>5</v>
      </c>
      <c r="E22" s="14" t="str">
        <f>Place</f>
        <v>L31</v>
      </c>
      <c r="F22" s="5" t="str">
        <f>FightNo</f>
        <v>Finale 5</v>
      </c>
      <c r="G22" s="1">
        <f t="shared" si="0"/>
        <v>2</v>
      </c>
      <c r="H22" s="381">
        <v>1</v>
      </c>
      <c r="I22" s="380"/>
      <c r="J22" s="380"/>
      <c r="K22" s="380"/>
      <c r="L22" s="380"/>
      <c r="M22" s="380"/>
      <c r="N22" s="380">
        <v>14</v>
      </c>
    </row>
    <row r="23" spans="1:14" ht="13.5" thickBot="1">
      <c r="A23" s="382" t="s">
        <v>241</v>
      </c>
      <c r="B23" s="382" t="s">
        <v>278</v>
      </c>
      <c r="C23" s="382" t="s">
        <v>275</v>
      </c>
      <c r="D23" s="383" t="s">
        <v>5</v>
      </c>
      <c r="E23" s="403" t="str">
        <f>Place</f>
        <v>L33</v>
      </c>
      <c r="F23" s="404" t="str">
        <f>FightNo</f>
        <v>Finale 5</v>
      </c>
      <c r="G23" s="1">
        <f t="shared" si="0"/>
        <v>3</v>
      </c>
      <c r="H23" s="383">
        <v>2</v>
      </c>
      <c r="I23" s="380"/>
      <c r="J23" s="380"/>
      <c r="K23" s="380"/>
      <c r="L23" s="380"/>
      <c r="M23" s="380"/>
      <c r="N23" s="380">
        <v>4</v>
      </c>
    </row>
    <row r="24" spans="1:14" ht="12.75">
      <c r="A24" s="380" t="s">
        <v>250</v>
      </c>
      <c r="B24" s="380" t="s">
        <v>283</v>
      </c>
      <c r="C24" s="380" t="s">
        <v>281</v>
      </c>
      <c r="D24" s="381" t="s">
        <v>25</v>
      </c>
      <c r="E24" s="14" t="str">
        <f>Place</f>
        <v>I40</v>
      </c>
      <c r="F24" s="5" t="str">
        <f>FightNo</f>
        <v>Semi</v>
      </c>
      <c r="G24" s="1">
        <f t="shared" si="0"/>
        <v>2</v>
      </c>
      <c r="H24" s="381">
        <v>4</v>
      </c>
      <c r="I24" s="380"/>
      <c r="J24" s="380"/>
      <c r="K24" s="380"/>
      <c r="L24" s="380">
        <v>2</v>
      </c>
      <c r="M24" s="380">
        <v>7</v>
      </c>
      <c r="N24" s="380"/>
    </row>
    <row r="25" spans="1:14" ht="12.75">
      <c r="A25" s="380" t="s">
        <v>250</v>
      </c>
      <c r="B25" s="380" t="s">
        <v>262</v>
      </c>
      <c r="C25" s="380" t="s">
        <v>202</v>
      </c>
      <c r="D25" s="381" t="s">
        <v>25</v>
      </c>
      <c r="E25" s="14" t="str">
        <f>Place</f>
        <v>I42</v>
      </c>
      <c r="F25" s="5" t="str">
        <f>FightNo</f>
        <v>Semi</v>
      </c>
      <c r="G25" s="1">
        <f t="shared" si="0"/>
        <v>3</v>
      </c>
      <c r="H25" s="381">
        <v>1</v>
      </c>
      <c r="I25" s="380"/>
      <c r="J25" s="380"/>
      <c r="K25" s="380"/>
      <c r="L25" s="380">
        <v>10</v>
      </c>
      <c r="M25" s="380"/>
      <c r="N25" s="380">
        <v>15</v>
      </c>
    </row>
    <row r="26" spans="1:14" ht="12.75">
      <c r="A26" s="380" t="s">
        <v>250</v>
      </c>
      <c r="B26" s="380" t="s">
        <v>264</v>
      </c>
      <c r="C26" s="380" t="s">
        <v>202</v>
      </c>
      <c r="D26" s="381" t="s">
        <v>25</v>
      </c>
      <c r="E26" s="14" t="str">
        <f>Place</f>
        <v>O40</v>
      </c>
      <c r="F26" s="5" t="str">
        <f>FightNo</f>
        <v>Semi</v>
      </c>
      <c r="G26" s="1">
        <f t="shared" si="0"/>
        <v>4</v>
      </c>
      <c r="H26" s="381">
        <v>3</v>
      </c>
      <c r="I26" s="380"/>
      <c r="J26" s="380"/>
      <c r="K26" s="380"/>
      <c r="L26" s="380">
        <v>6</v>
      </c>
      <c r="M26" s="380">
        <v>11</v>
      </c>
      <c r="N26" s="380"/>
    </row>
    <row r="27" spans="1:14" ht="13.5" thickBot="1">
      <c r="A27" s="382" t="s">
        <v>250</v>
      </c>
      <c r="B27" s="382" t="s">
        <v>251</v>
      </c>
      <c r="C27" s="382" t="s">
        <v>252</v>
      </c>
      <c r="D27" s="383" t="s">
        <v>25</v>
      </c>
      <c r="E27" s="403" t="str">
        <f>Place</f>
        <v>O42</v>
      </c>
      <c r="F27" s="404" t="str">
        <f>FightNo</f>
        <v>Semi</v>
      </c>
      <c r="G27" s="1">
        <f t="shared" si="0"/>
        <v>5</v>
      </c>
      <c r="H27" s="383">
        <v>2</v>
      </c>
      <c r="I27" s="380"/>
      <c r="J27" s="380"/>
      <c r="K27" s="380"/>
      <c r="L27" s="380">
        <v>10</v>
      </c>
      <c r="M27" s="380"/>
      <c r="N27" s="380">
        <v>6</v>
      </c>
    </row>
    <row r="28" spans="1:14" ht="12.75">
      <c r="A28" s="380" t="s">
        <v>246</v>
      </c>
      <c r="B28" s="380" t="s">
        <v>261</v>
      </c>
      <c r="C28" s="380" t="s">
        <v>202</v>
      </c>
      <c r="D28" s="381" t="s">
        <v>25</v>
      </c>
      <c r="E28" s="14" t="str">
        <f>Place</f>
        <v>I40</v>
      </c>
      <c r="F28" s="5" t="str">
        <f>FightNo</f>
        <v>Semi</v>
      </c>
      <c r="G28" s="1">
        <f t="shared" si="0"/>
        <v>2</v>
      </c>
      <c r="H28" s="381">
        <v>3</v>
      </c>
      <c r="I28" s="380"/>
      <c r="J28" s="380"/>
      <c r="K28" s="380"/>
      <c r="L28" s="380">
        <v>6</v>
      </c>
      <c r="M28" s="380"/>
      <c r="N28" s="380"/>
    </row>
    <row r="29" spans="1:14" ht="12.75">
      <c r="A29" s="380" t="s">
        <v>246</v>
      </c>
      <c r="B29" s="380" t="s">
        <v>247</v>
      </c>
      <c r="C29" s="380" t="s">
        <v>237</v>
      </c>
      <c r="D29" s="381" t="s">
        <v>25</v>
      </c>
      <c r="E29" s="14" t="str">
        <f>Place</f>
        <v>I42</v>
      </c>
      <c r="F29" s="5" t="str">
        <f>FightNo</f>
        <v>Semi</v>
      </c>
      <c r="G29" s="1">
        <f t="shared" si="0"/>
        <v>3</v>
      </c>
      <c r="H29" s="381">
        <v>1</v>
      </c>
      <c r="I29" s="380"/>
      <c r="J29" s="380"/>
      <c r="K29" s="380"/>
      <c r="L29" s="380">
        <v>8</v>
      </c>
      <c r="M29" s="380"/>
      <c r="N29" s="380">
        <v>15</v>
      </c>
    </row>
    <row r="30" spans="1:14" ht="13.5" thickBot="1">
      <c r="A30" s="382" t="s">
        <v>246</v>
      </c>
      <c r="B30" s="382" t="s">
        <v>248</v>
      </c>
      <c r="C30" s="382" t="s">
        <v>249</v>
      </c>
      <c r="D30" s="383" t="s">
        <v>25</v>
      </c>
      <c r="E30" s="403" t="str">
        <f>Place</f>
        <v>L33</v>
      </c>
      <c r="F30" s="404" t="str">
        <f>FightNo</f>
        <v>Semi</v>
      </c>
      <c r="G30" s="1">
        <f t="shared" si="0"/>
        <v>4</v>
      </c>
      <c r="H30" s="383">
        <v>2</v>
      </c>
      <c r="I30" s="380"/>
      <c r="J30" s="380"/>
      <c r="K30" s="380"/>
      <c r="L30" s="380"/>
      <c r="M30" s="380"/>
      <c r="N30" s="380">
        <v>13</v>
      </c>
    </row>
    <row r="31" spans="1:14" ht="12.75">
      <c r="A31" s="380" t="s">
        <v>232</v>
      </c>
      <c r="B31" s="380" t="s">
        <v>233</v>
      </c>
      <c r="C31" s="380" t="s">
        <v>234</v>
      </c>
      <c r="D31" s="381" t="s">
        <v>25</v>
      </c>
      <c r="E31" s="14" t="str">
        <f>Place</f>
        <v>G20</v>
      </c>
      <c r="F31" s="5">
        <f>FightNo</f>
        <v>1</v>
      </c>
      <c r="G31" s="1">
        <f t="shared" si="0"/>
        <v>2</v>
      </c>
      <c r="H31" s="381">
        <v>5</v>
      </c>
      <c r="I31" s="380"/>
      <c r="J31" s="380"/>
      <c r="K31" s="380">
        <v>3</v>
      </c>
      <c r="L31" s="380"/>
      <c r="M31" s="380"/>
      <c r="N31" s="380"/>
    </row>
    <row r="32" spans="1:14" ht="12.75">
      <c r="A32" s="380" t="s">
        <v>232</v>
      </c>
      <c r="B32" s="380" t="s">
        <v>257</v>
      </c>
      <c r="C32" s="380" t="s">
        <v>258</v>
      </c>
      <c r="D32" s="381" t="s">
        <v>25</v>
      </c>
      <c r="E32" s="14" t="str">
        <f>Place</f>
        <v>G22</v>
      </c>
      <c r="F32" s="5">
        <f>FightNo</f>
        <v>1</v>
      </c>
      <c r="G32" s="1">
        <f t="shared" si="0"/>
        <v>3</v>
      </c>
      <c r="H32" s="381">
        <v>4</v>
      </c>
      <c r="I32" s="380"/>
      <c r="J32" s="380"/>
      <c r="K32" s="380">
        <v>10</v>
      </c>
      <c r="L32" s="380">
        <v>5</v>
      </c>
      <c r="M32" s="380">
        <v>7</v>
      </c>
      <c r="N32" s="380"/>
    </row>
    <row r="33" spans="1:14" ht="12.75">
      <c r="A33" s="380" t="s">
        <v>232</v>
      </c>
      <c r="B33" s="380" t="s">
        <v>266</v>
      </c>
      <c r="C33" s="380" t="s">
        <v>202</v>
      </c>
      <c r="D33" s="381" t="s">
        <v>25</v>
      </c>
      <c r="E33" s="14" t="str">
        <f>Place</f>
        <v>G60</v>
      </c>
      <c r="F33" s="5">
        <f>FightNo</f>
        <v>2</v>
      </c>
      <c r="G33" s="1">
        <f t="shared" si="0"/>
        <v>4</v>
      </c>
      <c r="H33" s="381">
        <v>1</v>
      </c>
      <c r="I33" s="380"/>
      <c r="J33" s="380"/>
      <c r="K33" s="380">
        <v>13</v>
      </c>
      <c r="L33" s="380">
        <v>7</v>
      </c>
      <c r="M33" s="380"/>
      <c r="N33" s="380">
        <v>18</v>
      </c>
    </row>
    <row r="34" spans="1:14" ht="12.75">
      <c r="A34" s="380" t="s">
        <v>232</v>
      </c>
      <c r="B34" s="380" t="s">
        <v>270</v>
      </c>
      <c r="C34" s="380" t="s">
        <v>269</v>
      </c>
      <c r="D34" s="381" t="s">
        <v>25</v>
      </c>
      <c r="E34" s="14" t="str">
        <f>Place</f>
        <v>G62</v>
      </c>
      <c r="F34" s="5">
        <f>FightNo</f>
        <v>2</v>
      </c>
      <c r="G34" s="1">
        <f t="shared" si="0"/>
        <v>5</v>
      </c>
      <c r="H34" s="381">
        <v>5</v>
      </c>
      <c r="I34" s="380"/>
      <c r="J34" s="380"/>
      <c r="K34" s="380">
        <v>2</v>
      </c>
      <c r="L34" s="380"/>
      <c r="M34" s="380"/>
      <c r="N34" s="380"/>
    </row>
    <row r="35" spans="1:14" ht="12.75">
      <c r="A35" s="380" t="s">
        <v>232</v>
      </c>
      <c r="B35" s="380" t="s">
        <v>274</v>
      </c>
      <c r="C35" s="380" t="s">
        <v>275</v>
      </c>
      <c r="D35" s="381" t="s">
        <v>25</v>
      </c>
      <c r="E35" s="14" t="str">
        <f>Place</f>
        <v>Q20</v>
      </c>
      <c r="F35" s="5">
        <f>FightNo</f>
        <v>3</v>
      </c>
      <c r="G35" s="1">
        <f t="shared" si="0"/>
        <v>6</v>
      </c>
      <c r="H35" s="381">
        <v>2</v>
      </c>
      <c r="I35" s="380"/>
      <c r="J35" s="380"/>
      <c r="K35" s="380">
        <v>8</v>
      </c>
      <c r="L35" s="380">
        <v>11</v>
      </c>
      <c r="M35" s="380"/>
      <c r="N35" s="380">
        <v>11</v>
      </c>
    </row>
    <row r="36" spans="1:14" ht="12.75">
      <c r="A36" s="380" t="s">
        <v>232</v>
      </c>
      <c r="B36" s="380" t="s">
        <v>282</v>
      </c>
      <c r="C36" s="380" t="s">
        <v>281</v>
      </c>
      <c r="D36" s="381" t="s">
        <v>25</v>
      </c>
      <c r="E36" s="14" t="str">
        <f>Place</f>
        <v>Q22</v>
      </c>
      <c r="F36" s="5">
        <f>FightNo</f>
        <v>3</v>
      </c>
      <c r="G36" s="1">
        <f t="shared" si="0"/>
        <v>7</v>
      </c>
      <c r="H36" s="381">
        <v>5</v>
      </c>
      <c r="I36" s="380"/>
      <c r="J36" s="380"/>
      <c r="K36" s="380">
        <v>2</v>
      </c>
      <c r="L36" s="380"/>
      <c r="M36" s="380"/>
      <c r="N36" s="380"/>
    </row>
    <row r="37" spans="1:14" ht="12.75">
      <c r="A37" s="380" t="s">
        <v>232</v>
      </c>
      <c r="B37" s="380" t="s">
        <v>285</v>
      </c>
      <c r="C37" s="380" t="s">
        <v>193</v>
      </c>
      <c r="D37" s="381" t="s">
        <v>25</v>
      </c>
      <c r="E37" s="14" t="str">
        <f>Place</f>
        <v>Q60</v>
      </c>
      <c r="F37" s="5">
        <f>FightNo</f>
        <v>4</v>
      </c>
      <c r="G37" s="1">
        <f t="shared" si="0"/>
        <v>8</v>
      </c>
      <c r="H37" s="381">
        <v>3</v>
      </c>
      <c r="I37" s="380"/>
      <c r="J37" s="380"/>
      <c r="K37" s="380">
        <v>10</v>
      </c>
      <c r="L37" s="380">
        <v>10</v>
      </c>
      <c r="M37" s="380">
        <v>10</v>
      </c>
      <c r="N37" s="380"/>
    </row>
    <row r="38" spans="1:14" ht="13.5" thickBot="1">
      <c r="A38" s="382" t="s">
        <v>232</v>
      </c>
      <c r="B38" s="382" t="s">
        <v>286</v>
      </c>
      <c r="C38" s="382" t="s">
        <v>287</v>
      </c>
      <c r="D38" s="383" t="s">
        <v>25</v>
      </c>
      <c r="E38" s="403" t="str">
        <f>Place</f>
        <v>Q62</v>
      </c>
      <c r="F38" s="404">
        <f>FightNo</f>
        <v>4</v>
      </c>
      <c r="G38" s="1">
        <f t="shared" si="0"/>
        <v>9</v>
      </c>
      <c r="H38" s="383">
        <v>5</v>
      </c>
      <c r="I38" s="380"/>
      <c r="J38" s="380"/>
      <c r="K38" s="380">
        <v>8</v>
      </c>
      <c r="L38" s="380"/>
      <c r="M38" s="380"/>
      <c r="N38" s="380"/>
    </row>
    <row r="39" spans="1:14" ht="12.75">
      <c r="A39" s="380" t="s">
        <v>255</v>
      </c>
      <c r="B39" s="380" t="s">
        <v>271</v>
      </c>
      <c r="C39" s="380" t="s">
        <v>269</v>
      </c>
      <c r="D39" s="381" t="s">
        <v>25</v>
      </c>
      <c r="E39" s="14" t="str">
        <f>Place</f>
        <v>G20</v>
      </c>
      <c r="F39" s="5">
        <f>FightNo</f>
        <v>7</v>
      </c>
      <c r="G39" s="1">
        <f t="shared" si="0"/>
        <v>2</v>
      </c>
      <c r="H39" s="381">
        <v>5</v>
      </c>
      <c r="I39" s="380"/>
      <c r="J39" s="380"/>
      <c r="K39" s="380">
        <v>3</v>
      </c>
      <c r="L39" s="380"/>
      <c r="M39" s="380"/>
      <c r="N39" s="380"/>
    </row>
    <row r="40" spans="1:14" ht="12.75">
      <c r="A40" s="380" t="s">
        <v>255</v>
      </c>
      <c r="B40" s="380" t="s">
        <v>267</v>
      </c>
      <c r="C40" s="380" t="s">
        <v>202</v>
      </c>
      <c r="D40" s="381" t="s">
        <v>25</v>
      </c>
      <c r="E40" s="14" t="str">
        <f>Place</f>
        <v>G22</v>
      </c>
      <c r="F40" s="5">
        <f>FightNo</f>
        <v>7</v>
      </c>
      <c r="G40" s="1">
        <f t="shared" si="0"/>
        <v>3</v>
      </c>
      <c r="H40" s="381">
        <v>1</v>
      </c>
      <c r="I40" s="380"/>
      <c r="J40" s="380"/>
      <c r="K40" s="380">
        <v>10</v>
      </c>
      <c r="L40" s="380">
        <v>6</v>
      </c>
      <c r="M40" s="380"/>
      <c r="N40" s="380">
        <v>11</v>
      </c>
    </row>
    <row r="41" spans="1:14" ht="12.75">
      <c r="A41" s="380" t="s">
        <v>255</v>
      </c>
      <c r="B41" s="380" t="s">
        <v>256</v>
      </c>
      <c r="C41" s="380" t="s">
        <v>252</v>
      </c>
      <c r="D41" s="381" t="s">
        <v>25</v>
      </c>
      <c r="E41" s="14" t="str">
        <f>Place</f>
        <v>O40</v>
      </c>
      <c r="F41" s="5">
        <f>FightNo</f>
        <v>8</v>
      </c>
      <c r="G41" s="1">
        <f t="shared" si="0"/>
        <v>4</v>
      </c>
      <c r="H41" s="381">
        <v>4</v>
      </c>
      <c r="I41" s="380"/>
      <c r="J41" s="380"/>
      <c r="K41" s="380"/>
      <c r="L41" s="380">
        <v>6</v>
      </c>
      <c r="M41" s="380">
        <v>4</v>
      </c>
      <c r="N41" s="380"/>
    </row>
    <row r="42" spans="1:14" ht="12.75">
      <c r="A42" s="380" t="s">
        <v>255</v>
      </c>
      <c r="B42" s="380" t="s">
        <v>272</v>
      </c>
      <c r="C42" s="380" t="s">
        <v>269</v>
      </c>
      <c r="D42" s="381" t="s">
        <v>25</v>
      </c>
      <c r="E42" s="14" t="str">
        <f>Place</f>
        <v>O42</v>
      </c>
      <c r="F42" s="5">
        <f>FightNo</f>
        <v>8</v>
      </c>
      <c r="G42" s="1">
        <f t="shared" si="0"/>
        <v>5</v>
      </c>
      <c r="H42" s="381">
        <v>2</v>
      </c>
      <c r="I42" s="380"/>
      <c r="J42" s="380"/>
      <c r="K42" s="380"/>
      <c r="L42" s="380">
        <v>8</v>
      </c>
      <c r="M42" s="380"/>
      <c r="N42" s="380">
        <v>1</v>
      </c>
    </row>
    <row r="43" spans="1:14" ht="13.5" thickBot="1">
      <c r="A43" s="382" t="s">
        <v>255</v>
      </c>
      <c r="B43" s="382" t="s">
        <v>279</v>
      </c>
      <c r="C43" s="382" t="s">
        <v>275</v>
      </c>
      <c r="D43" s="383" t="s">
        <v>25</v>
      </c>
      <c r="E43" s="403" t="str">
        <f>Place</f>
        <v>I42</v>
      </c>
      <c r="F43" s="404">
        <f>FightNo</f>
        <v>9</v>
      </c>
      <c r="G43" s="1">
        <f t="shared" si="0"/>
        <v>6</v>
      </c>
      <c r="H43" s="383">
        <v>3</v>
      </c>
      <c r="I43" s="380"/>
      <c r="J43" s="380"/>
      <c r="K43" s="380"/>
      <c r="L43" s="380">
        <v>0</v>
      </c>
      <c r="M43" s="380">
        <v>9</v>
      </c>
      <c r="N43" s="380"/>
    </row>
    <row r="44" spans="1:14" ht="12.75">
      <c r="A44" s="380" t="s">
        <v>227</v>
      </c>
      <c r="B44" s="380" t="s">
        <v>291</v>
      </c>
      <c r="C44" s="380" t="s">
        <v>289</v>
      </c>
      <c r="D44" s="381" t="s">
        <v>25</v>
      </c>
      <c r="E44" s="14" t="str">
        <f>Place</f>
        <v>I40</v>
      </c>
      <c r="F44" s="5" t="str">
        <f>FightNo</f>
        <v>Semi</v>
      </c>
      <c r="G44" s="1">
        <f t="shared" si="0"/>
        <v>2</v>
      </c>
      <c r="H44" s="381">
        <v>1</v>
      </c>
      <c r="I44" s="380"/>
      <c r="J44" s="380"/>
      <c r="K44" s="380"/>
      <c r="L44" s="380">
        <v>12</v>
      </c>
      <c r="M44" s="380"/>
      <c r="N44" s="380">
        <v>12</v>
      </c>
    </row>
    <row r="45" spans="1:14" ht="12.75">
      <c r="A45" s="380" t="s">
        <v>227</v>
      </c>
      <c r="B45" s="380" t="s">
        <v>228</v>
      </c>
      <c r="C45" s="380" t="s">
        <v>229</v>
      </c>
      <c r="D45" s="381" t="s">
        <v>25</v>
      </c>
      <c r="E45" s="14" t="str">
        <f>Place</f>
        <v>I42</v>
      </c>
      <c r="F45" s="5" t="str">
        <f>FightNo</f>
        <v>Semi</v>
      </c>
      <c r="G45" s="1">
        <f t="shared" si="0"/>
        <v>3</v>
      </c>
      <c r="H45" s="381">
        <v>3</v>
      </c>
      <c r="I45" s="380"/>
      <c r="J45" s="380"/>
      <c r="K45" s="380"/>
      <c r="L45" s="380">
        <v>2</v>
      </c>
      <c r="M45" s="380"/>
      <c r="N45" s="380"/>
    </row>
    <row r="46" spans="1:14" ht="13.5" thickBot="1">
      <c r="A46" s="382" t="s">
        <v>227</v>
      </c>
      <c r="B46" s="382" t="s">
        <v>273</v>
      </c>
      <c r="C46" s="382" t="s">
        <v>269</v>
      </c>
      <c r="D46" s="383" t="s">
        <v>25</v>
      </c>
      <c r="E46" s="403" t="str">
        <f>Place</f>
        <v>L33</v>
      </c>
      <c r="F46" s="404" t="str">
        <f>FightNo</f>
        <v>Semi</v>
      </c>
      <c r="G46" s="1">
        <f t="shared" si="0"/>
        <v>4</v>
      </c>
      <c r="H46" s="383">
        <v>2</v>
      </c>
      <c r="I46" s="380"/>
      <c r="J46" s="380"/>
      <c r="K46" s="380"/>
      <c r="L46" s="380"/>
      <c r="M46" s="380"/>
      <c r="N46" s="380">
        <v>2</v>
      </c>
    </row>
  </sheetData>
  <sheetProtection/>
  <printOptions horizontalCentered="1"/>
  <pageMargins left="0.35433070866141736" right="0.2755905511811024" top="0.984251968503937" bottom="0.984251968503937" header="0.5118110236220472" footer="0.5118110236220472"/>
  <pageSetup blackAndWhite="1" horizontalDpi="600" verticalDpi="600" orientation="portrait" paperSize="9" r:id="rId3"/>
  <headerFooter alignWithMargins="0">
    <oddHeader>&amp;C&amp;"Arial,Halvfet"&amp;22TATAMI B&amp;R&amp;G</oddHeader>
    <oddFooter>&amp;R&amp;"Arial,Halvfet"&amp;18
PYRAMIDE: Professionl tournement tool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2:X91"/>
  <sheetViews>
    <sheetView showGridLines="0" showOutlineSymbols="0" zoomScale="40" zoomScaleNormal="40" zoomScaleSheetLayoutView="40" zoomScalePageLayoutView="0" workbookViewId="0" topLeftCell="C7">
      <selection activeCell="A2" sqref="A2"/>
    </sheetView>
  </sheetViews>
  <sheetFormatPr defaultColWidth="11.421875" defaultRowHeight="11.25" customHeight="1" outlineLevelRow="1" outlineLevelCol="1"/>
  <cols>
    <col min="1" max="1" width="34.7109375" style="335" hidden="1" customWidth="1" outlineLevel="1"/>
    <col min="2" max="2" width="0.13671875" style="335" hidden="1" customWidth="1" outlineLevel="1"/>
    <col min="3" max="3" width="34.7109375" style="335" customWidth="1" collapsed="1"/>
    <col min="4" max="4" width="6.28125" style="335" customWidth="1"/>
    <col min="5" max="5" width="34.7109375" style="335" customWidth="1"/>
    <col min="6" max="6" width="6.28125" style="335" customWidth="1"/>
    <col min="7" max="7" width="34.7109375" style="335" customWidth="1"/>
    <col min="8" max="8" width="6.28125" style="336" customWidth="1"/>
    <col min="9" max="9" width="34.7109375" style="335" customWidth="1"/>
    <col min="10" max="10" width="6.28125" style="335" customWidth="1"/>
    <col min="11" max="11" width="1.7109375" style="335" customWidth="1"/>
    <col min="12" max="12" width="34.7109375" style="335" customWidth="1"/>
    <col min="13" max="13" width="6.28125" style="335" customWidth="1"/>
    <col min="14" max="14" width="1.7109375" style="335" customWidth="1"/>
    <col min="15" max="15" width="34.7109375" style="335" customWidth="1"/>
    <col min="16" max="16" width="6.28125" style="335" customWidth="1"/>
    <col min="17" max="17" width="34.7109375" style="335" customWidth="1"/>
    <col min="18" max="18" width="6.28125" style="335" customWidth="1"/>
    <col min="19" max="19" width="34.7109375" style="335" customWidth="1"/>
    <col min="20" max="20" width="6.28125" style="335" customWidth="1"/>
    <col min="21" max="21" width="34.7109375" style="335" customWidth="1"/>
    <col min="22" max="22" width="6.28125" style="335" customWidth="1"/>
    <col min="23" max="23" width="34.7109375" style="335" hidden="1" customWidth="1" outlineLevel="1"/>
    <col min="24" max="24" width="4.28125" style="335" hidden="1" customWidth="1" outlineLevel="1"/>
    <col min="25" max="25" width="11.421875" style="335" customWidth="1" collapsed="1"/>
    <col min="26" max="16384" width="11.421875" style="335" customWidth="1"/>
  </cols>
  <sheetData>
    <row r="1" ht="9" customHeight="1"/>
    <row r="2" spans="1:23" ht="36.75" customHeight="1" thickBot="1">
      <c r="A2" s="337"/>
      <c r="C2" s="338"/>
      <c r="L2" s="339" t="s">
        <v>58</v>
      </c>
      <c r="M2" s="334" t="s">
        <v>227</v>
      </c>
      <c r="W2" s="337"/>
    </row>
    <row r="3" spans="1:24" ht="31.5" customHeight="1" thickBot="1">
      <c r="A3" s="341"/>
      <c r="B3" s="342"/>
      <c r="C3" s="337"/>
      <c r="D3" s="337"/>
      <c r="E3" s="337"/>
      <c r="F3" s="337"/>
      <c r="G3" s="337"/>
      <c r="H3" s="343"/>
      <c r="I3" s="337"/>
      <c r="J3" s="337"/>
      <c r="K3" s="337"/>
      <c r="L3" s="340" t="s">
        <v>59</v>
      </c>
      <c r="M3" s="417">
        <f>IF(ISERROR(VLOOKUP(M2,Tab2B,2,FALSE)),"",VLOOKUP(M2,Tab2B,2,FALSE))</f>
        <v>3</v>
      </c>
      <c r="N3" s="417"/>
      <c r="O3" s="418"/>
      <c r="P3" s="337"/>
      <c r="Q3" s="337"/>
      <c r="R3" s="337"/>
      <c r="S3" s="337"/>
      <c r="T3" s="337"/>
      <c r="U3" s="337"/>
      <c r="W3" s="341"/>
      <c r="X3" s="342"/>
    </row>
    <row r="4" spans="1:23" ht="18" customHeight="1" thickBot="1">
      <c r="A4" s="344"/>
      <c r="B4" s="337"/>
      <c r="C4" s="345">
        <f>IF(ISERROR(VLOOKUP("C5",TabMatteA,2,FALSE)),"",IF(VLOOKUP("C5",TabMatteA,2,FALSE)=0,"","Fight No: "&amp;VLOOKUP("C5",TabMatteA,2,FALSE)))</f>
      </c>
      <c r="D4" s="337"/>
      <c r="E4" s="337"/>
      <c r="F4" s="337"/>
      <c r="G4" s="337"/>
      <c r="H4" s="343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45">
        <f>IF(ISERROR(VLOOKUP("U5",TabMatteA,2,FALSE)),"",IF(VLOOKUP("U5",TabMatteA,2,FALSE)=0,"","Fight No: "&amp;VLOOKUP("U5",TabMatteA,2,FALSE)))</f>
      </c>
      <c r="V4" s="337"/>
      <c r="W4" s="344"/>
    </row>
    <row r="5" spans="1:23" ht="18" customHeight="1" thickBot="1">
      <c r="A5" s="346"/>
      <c r="C5" s="347">
        <f>IF(ISERROR(VLOOKUP("C5",HjHoved!P:R,2,FALSE)),"",VLOOKUP("C5",HjHoved!P:R,3,FALSE))</f>
      </c>
      <c r="D5" s="342">
        <f>IF(C5="","",IF(VLOOKUP(C5,RegList!B:N,8,FALSE)="","",VLOOKUP(C5,RegList!B:N,8,FALSE)))</f>
      </c>
      <c r="E5" s="337"/>
      <c r="F5" s="337"/>
      <c r="G5" s="337"/>
      <c r="H5" s="343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U5" s="347">
        <f>IF(ISERROR(VLOOKUP("U5",HjHoved!P:R,2,FALSE)),"",VLOOKUP("U5",HjHoved!P:R,3,FALSE))</f>
      </c>
      <c r="V5" s="342">
        <f>IF(U5="","",IF(VLOOKUP(U5,RegList!B:N,8,FALSE)="","",VLOOKUP(U5,RegList!B:N,8,FALSE)))</f>
      </c>
      <c r="W5" s="348"/>
    </row>
    <row r="6" spans="1:24" ht="18" customHeight="1" thickBot="1">
      <c r="A6" s="349"/>
      <c r="B6" s="342"/>
      <c r="C6" s="350">
        <f>IF(C5="","",VLOOKUP(C5,HjHoved!R:S,2,FALSE))</f>
      </c>
      <c r="D6" s="337"/>
      <c r="E6" s="337"/>
      <c r="F6" s="337"/>
      <c r="G6" s="337"/>
      <c r="H6" s="343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50">
        <f>IF(U5="","",VLOOKUP(U5,HjHoved!R:S,2,FALSE))</f>
      </c>
      <c r="V6" s="337"/>
      <c r="W6" s="349"/>
      <c r="X6" s="342"/>
    </row>
    <row r="7" spans="1:23" ht="18" customHeight="1" thickBot="1">
      <c r="A7" s="337"/>
      <c r="B7" s="351"/>
      <c r="C7" s="352">
        <f>IF(ISERROR(VLOOKUP("C7",HjHoved!P:R,2,FALSE)),"",VLOOKUP("C7",HjHoved!P:R,3,FALSE))</f>
      </c>
      <c r="E7" s="337"/>
      <c r="F7" s="337"/>
      <c r="G7" s="337"/>
      <c r="H7" s="343"/>
      <c r="J7" s="337"/>
      <c r="K7" s="337"/>
      <c r="L7" s="337"/>
      <c r="M7" s="337"/>
      <c r="N7" s="337"/>
      <c r="O7" s="337"/>
      <c r="P7" s="337"/>
      <c r="Q7" s="337"/>
      <c r="R7" s="337"/>
      <c r="S7" s="337"/>
      <c r="U7" s="352">
        <f>IF(ISERROR(VLOOKUP("U7",HjHoved!P:R,2,FALSE)),"",VLOOKUP("U7",HjHoved!P:R,3,FALSE))</f>
      </c>
      <c r="W7" s="337"/>
    </row>
    <row r="8" spans="1:24" ht="18" customHeight="1" thickBot="1">
      <c r="A8" s="341"/>
      <c r="B8" s="342"/>
      <c r="C8" s="353">
        <f>IF(C7="","",VLOOKUP(C7,HjHoved!R:S,2,FALSE))</f>
      </c>
      <c r="D8" s="342">
        <f>IF(C7="","",IF(VLOOKUP(C7,RegList!B:N,8,FALSE)="","",VLOOKUP(C7,RegList!B:N,8,FALSE)))</f>
      </c>
      <c r="E8" s="337"/>
      <c r="F8" s="337"/>
      <c r="G8" s="337"/>
      <c r="H8" s="343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53">
        <f>IF(U7="","",VLOOKUP(U7,HjHoved!R:S,2,FALSE))</f>
      </c>
      <c r="V8" s="342">
        <f>IF(U7="","",IF(VLOOKUP(U7,RegList!B:N,8,FALSE)="","",VLOOKUP(U7,RegList!B:N,8,FALSE)))</f>
      </c>
      <c r="W8" s="354"/>
      <c r="X8" s="342"/>
    </row>
    <row r="9" spans="1:23" ht="18" customHeight="1" hidden="1" outlineLevel="1">
      <c r="A9" s="344"/>
      <c r="B9" s="337"/>
      <c r="C9" s="355"/>
      <c r="D9" s="337"/>
      <c r="E9" s="337"/>
      <c r="F9" s="337"/>
      <c r="G9" s="337"/>
      <c r="H9" s="343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56"/>
      <c r="V9" s="337"/>
      <c r="W9" s="344"/>
    </row>
    <row r="10" spans="1:23" ht="18" customHeight="1" collapsed="1" thickBot="1">
      <c r="A10" s="346"/>
      <c r="C10" s="357"/>
      <c r="D10" s="337"/>
      <c r="E10" s="345">
        <f>IF(ISERROR(VLOOKUP("E13",TabMatteA,2,FALSE)),"",IF(VLOOKUP("E13",TabMatteA,2,FALSE)=0,"","Fight No: "&amp;VLOOKUP("E13",TabMatteA,2,FALSE)))</f>
      </c>
      <c r="F10" s="337"/>
      <c r="G10" s="337"/>
      <c r="H10" s="343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58">
        <f>IF(ISERROR(VLOOKUP("S13",TabMatteA,2,FALSE)),"",IF(VLOOKUP("S13",TabMatteA,2,FALSE)=0,"","Fight No: "&amp;VLOOKUP("S13",TabMatteA,2,FALSE)))</f>
      </c>
      <c r="T10" s="337"/>
      <c r="U10" s="359"/>
      <c r="W10" s="346"/>
    </row>
    <row r="11" spans="1:24" ht="18" customHeight="1" thickBot="1">
      <c r="A11" s="349"/>
      <c r="B11" s="342"/>
      <c r="C11" s="357"/>
      <c r="D11" s="337"/>
      <c r="E11" s="347">
        <f>IF(ISERROR(VLOOKUP("E11",HjHoved!P:R,2,FALSE)),IF(D5=D8,"",IF(ISERROR(ABS(D5)),C7,IF(ISERROR(ABS(D8)),C5,IF(ABS(D5)&gt;ABS(D8),C5,IF(ABS(D5)&lt;ABS(D8),C7))))),VLOOKUP("E11",HjHoved!P:R,3,FALSE))</f>
      </c>
      <c r="F11" s="342">
        <f>IF(E11="","",IF(VLOOKUP(E11,RegList!$B:$N,9,FALSE)="","",VLOOKUP(E11,RegList!$B:$N,9,FALSE)))</f>
      </c>
      <c r="G11" s="337"/>
      <c r="H11" s="343"/>
      <c r="I11" s="337"/>
      <c r="J11" s="337"/>
      <c r="K11" s="337"/>
      <c r="L11" s="337"/>
      <c r="M11" s="337"/>
      <c r="N11" s="337"/>
      <c r="O11" s="337"/>
      <c r="P11" s="337"/>
      <c r="Q11" s="337"/>
      <c r="S11" s="347">
        <f>IF(ISERROR(VLOOKUP("S11",HjHoved!P:R,2,FALSE)),IF(V5=V8,"",IF(ISERROR(ABS(V5)),U7,IF(ISERROR(ABS(V8)),U5,IF(ABS(V5)&gt;ABS(V8),U5,IF(ABS(V5)&lt;ABS(V8),U7))))),VLOOKUP("S11",HjHoved!P:R,3,FALSE))</f>
      </c>
      <c r="T11" s="342">
        <f>IF(S11="","",IF(VLOOKUP(S11,RegList!$B:$N,9,FALSE)="","",VLOOKUP(S11,RegList!$B:$N,9,FALSE)))</f>
      </c>
      <c r="U11" s="359"/>
      <c r="V11" s="337"/>
      <c r="W11" s="349"/>
      <c r="X11" s="342"/>
    </row>
    <row r="12" spans="1:23" ht="18" customHeight="1" thickBot="1">
      <c r="A12" s="337"/>
      <c r="B12" s="337"/>
      <c r="C12" s="357"/>
      <c r="D12" s="360"/>
      <c r="E12" s="350">
        <f>IF(E11="","",VLOOKUP(E11,HjHoved!R:S,2,FALSE))</f>
      </c>
      <c r="F12" s="337"/>
      <c r="G12" s="337"/>
      <c r="H12" s="343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50">
        <f>IF(S11="","",VLOOKUP(S11,HjHoved!R:S,2,FALSE))</f>
      </c>
      <c r="T12" s="337"/>
      <c r="U12" s="359"/>
      <c r="V12" s="337"/>
      <c r="W12" s="337"/>
    </row>
    <row r="13" spans="1:24" ht="18" customHeight="1" thickBot="1">
      <c r="A13" s="341"/>
      <c r="B13" s="342"/>
      <c r="C13" s="357"/>
      <c r="D13" s="337"/>
      <c r="E13" s="352">
        <f>IF(ISERROR(VLOOKUP("E13",HjHoved!P:R,2,FALSE)),IF(D16=D19,"",IF(ISERROR(ABS(D16)),C18,IF(ISERROR(ABS(D19)),C16,IF(ABS(D16)&gt;ABS(D19),C16,IF(ABS(D16)&lt;ABS(D19),C18))))),VLOOKUP("E13",HjHoved!P:R,3,FALSE))</f>
      </c>
      <c r="G13" s="337"/>
      <c r="H13" s="343"/>
      <c r="I13" s="337"/>
      <c r="J13" s="337"/>
      <c r="K13" s="337"/>
      <c r="L13" s="337"/>
      <c r="M13" s="337"/>
      <c r="N13" s="337"/>
      <c r="O13" s="337"/>
      <c r="P13" s="337"/>
      <c r="Q13" s="337"/>
      <c r="S13" s="352">
        <f>IF(ISERROR(VLOOKUP("S13",HjHoved!P:R,2,FALSE)),IF(V16=V19,"",IF(ISERROR(ABS(V16)),U18,IF(ISERROR(ABS(V19)),U16,IF(ABS(V16)&gt;ABS(V19),U16,IF(ABS(V16)&lt;ABS(V19),U18))))),VLOOKUP("S13",HjHoved!P:R,3,FALSE))</f>
      </c>
      <c r="U13" s="359"/>
      <c r="W13" s="341"/>
      <c r="X13" s="342"/>
    </row>
    <row r="14" spans="1:23" ht="18" customHeight="1" thickBot="1">
      <c r="A14" s="344"/>
      <c r="B14" s="337"/>
      <c r="C14" s="357"/>
      <c r="D14" s="337"/>
      <c r="E14" s="353">
        <f>IF(E13="","",VLOOKUP(E13,HjHoved!R:S,2,FALSE))</f>
      </c>
      <c r="F14" s="342">
        <f>IF(E13="","",IF(VLOOKUP(E13,RegList!$B:$N,9,FALSE)="","",VLOOKUP(E13,RegList!$B:$N,9,FALSE)))</f>
      </c>
      <c r="G14" s="337"/>
      <c r="H14" s="343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53">
        <f>IF(S13="","",VLOOKUP(S13,HjHoved!R:S,2,FALSE))</f>
      </c>
      <c r="T14" s="342">
        <f>IF(S13="","",IF(VLOOKUP(S13,RegList!$B:$N,9,FALSE)="","",VLOOKUP(S13,RegList!$B:$N,9,FALSE)))</f>
      </c>
      <c r="U14" s="359"/>
      <c r="V14" s="337"/>
      <c r="W14" s="344"/>
    </row>
    <row r="15" spans="1:23" ht="18" customHeight="1" thickBot="1">
      <c r="A15" s="346"/>
      <c r="C15" s="361">
        <f>IF(ISERROR(VLOOKUP("C16",TabMatteA,2,FALSE)),"",IF(VLOOKUP("C16",TabMatteA,2,FALSE)=0,"","Fight No: "&amp;VLOOKUP("C16",TabMatteA,2,FALSE)))</f>
      </c>
      <c r="D15" s="337"/>
      <c r="E15" s="355"/>
      <c r="F15" s="337"/>
      <c r="G15" s="337"/>
      <c r="H15" s="343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59"/>
      <c r="T15" s="337"/>
      <c r="U15" s="362">
        <f>IF(ISERROR(VLOOKUP("U16",TabMatteA,2,FALSE)),"",IF(VLOOKUP("U16",TabMatteA,2,FALSE)=0,"","Fight No: "&amp;VLOOKUP("U16",TabMatteA,2,FALSE)))</f>
      </c>
      <c r="W15" s="346"/>
    </row>
    <row r="16" spans="1:24" ht="18" customHeight="1" thickBot="1">
      <c r="A16" s="349"/>
      <c r="B16" s="342"/>
      <c r="C16" s="347">
        <f>IF(ISERROR(VLOOKUP("C16",HjHoved!P:R,2,FALSE)),"",VLOOKUP("C16",HjHoved!P:R,3,FALSE))</f>
      </c>
      <c r="D16" s="342">
        <f>IF(C16="","",IF(VLOOKUP(C16,RegList!B:N,8,FALSE)="","",VLOOKUP(C16,RegList!B:N,8,FALSE)))</f>
      </c>
      <c r="E16" s="357"/>
      <c r="F16" s="337"/>
      <c r="G16" s="337"/>
      <c r="H16" s="343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59"/>
      <c r="U16" s="347">
        <f>IF(ISERROR(VLOOKUP("U16",HjHoved!P:R,2,FALSE)),"",VLOOKUP("U16",HjHoved!P:R,3,FALSE))</f>
      </c>
      <c r="V16" s="342">
        <f>IF(U16="","",IF(VLOOKUP(U16,RegList!B:N,8,FALSE)="","",VLOOKUP(U16,RegList!B:N,8,FALSE)))</f>
      </c>
      <c r="W16" s="349"/>
      <c r="X16" s="342"/>
    </row>
    <row r="17" spans="1:23" ht="18" customHeight="1" thickBot="1">
      <c r="A17" s="337"/>
      <c r="B17" s="360"/>
      <c r="C17" s="350">
        <f>IF(C16="","",VLOOKUP(C16,HjHoved!R:S,2,FALSE))</f>
      </c>
      <c r="D17" s="337"/>
      <c r="E17" s="357"/>
      <c r="F17" s="337"/>
      <c r="G17" s="337"/>
      <c r="H17" s="343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59"/>
      <c r="T17" s="337"/>
      <c r="U17" s="350">
        <f>IF(U16="","",VLOOKUP(U16,HjHoved!R:S,2,FALSE))</f>
      </c>
      <c r="V17" s="337"/>
      <c r="W17" s="337"/>
    </row>
    <row r="18" spans="1:24" ht="18" customHeight="1" thickBot="1">
      <c r="A18" s="341"/>
      <c r="B18" s="342"/>
      <c r="C18" s="352">
        <f>IF(ISERROR(VLOOKUP("C18",HjHoved!P:R,2,FALSE)),"",VLOOKUP("C18",HjHoved!P:R,3,FALSE))</f>
      </c>
      <c r="E18" s="357"/>
      <c r="F18" s="337"/>
      <c r="G18" s="337"/>
      <c r="H18" s="343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59"/>
      <c r="U18" s="352">
        <f>IF(ISERROR(VLOOKUP("U18",HjHoved!P:R,2,FALSE)),"",VLOOKUP("U18",HjHoved!P:R,3,FALSE))</f>
      </c>
      <c r="W18" s="341"/>
      <c r="X18" s="342"/>
    </row>
    <row r="19" spans="1:23" ht="18" customHeight="1" thickBot="1">
      <c r="A19" s="344"/>
      <c r="B19" s="337"/>
      <c r="C19" s="353">
        <f>IF(C18="","",VLOOKUP(C18,HjHoved!R:S,2,FALSE))</f>
      </c>
      <c r="D19" s="342">
        <f>IF(C18="","",IF(VLOOKUP(C18,RegList!B:N,8,FALSE)="","",VLOOKUP(C18,RegList!B:N,8,FALSE)))</f>
      </c>
      <c r="E19" s="357"/>
      <c r="F19" s="337"/>
      <c r="G19" s="358">
        <f>IF(ISERROR(VLOOKUP("G22",TabMatteA,2,FALSE)),"",IF(VLOOKUP("G22",TabMatteA,2,FALSE)=0,"","Fight No: "&amp;VLOOKUP("G22",TabMatteA,2,FALSE)))</f>
      </c>
      <c r="H19" s="343"/>
      <c r="I19" s="337"/>
      <c r="J19" s="337"/>
      <c r="K19" s="337"/>
      <c r="L19" s="337"/>
      <c r="M19" s="337"/>
      <c r="N19" s="337"/>
      <c r="O19" s="337"/>
      <c r="P19" s="337"/>
      <c r="Q19" s="358">
        <f>IF(ISERROR(VLOOKUP("Q22",TabMatteA,2,FALSE)),"",IF(VLOOKUP("Q22",TabMatteA,2,FALSE)=0,"","Fight No: "&amp;VLOOKUP("Q22",TabMatteA,2,FALSE)))</f>
      </c>
      <c r="R19" s="337"/>
      <c r="S19" s="359"/>
      <c r="T19" s="337"/>
      <c r="U19" s="353">
        <f>IF(U18="","",VLOOKUP(U18,HjHoved!R:S,2,FALSE))</f>
      </c>
      <c r="V19" s="342">
        <f>IF(U18="","",IF(VLOOKUP(U18,RegList!B:N,8,FALSE)="","",VLOOKUP(U18,RegList!B:N,8,FALSE)))</f>
      </c>
      <c r="W19" s="344"/>
    </row>
    <row r="20" spans="1:23" ht="18" customHeight="1" thickBot="1">
      <c r="A20" s="346"/>
      <c r="C20" s="337"/>
      <c r="D20" s="337"/>
      <c r="E20" s="357"/>
      <c r="F20" s="337"/>
      <c r="G20" s="347">
        <f>IF(ISERROR(VLOOKUP("G20",HjHoved!P:R,2,FALSE)),IF(F11=F14,"",IF(ISERROR(ABS(F11)),E13,IF(ISERROR(ABS(F14)),E11,IF(ABS(F11)&gt;ABS(F14),E11,IF(ABS(F11)&lt;ABS(F14),E13))))),VLOOKUP("G20",HjHoved!P:R,3,FALSE))</f>
      </c>
      <c r="H20" s="342">
        <f>IF(G20="","",IF(VLOOKUP(G20,RegList!$B:$N,10,FALSE)="","",VLOOKUP(G20,RegList!$B:$N,10,FALSE)))</f>
      </c>
      <c r="I20" s="337"/>
      <c r="J20" s="337"/>
      <c r="K20" s="337"/>
      <c r="L20" s="337"/>
      <c r="M20" s="337"/>
      <c r="N20" s="337"/>
      <c r="O20" s="337"/>
      <c r="Q20" s="347">
        <f>IF(ISERROR(VLOOKUP("Q20",HjHoved!P:R,2,FALSE)),IF(T11=T14,"",IF(ISERROR(ABS(T11)),S13,IF(ISERROR(ABS(T14)),S11,IF(ABS(T11)&gt;ABS(T14),S11,IF(ABS(T11)&lt;ABS(T14),S13))))),VLOOKUP("Q20",HjHoved!P:R,3,FALSE))</f>
      </c>
      <c r="R20" s="342">
        <f>IF(Q20="","",IF(VLOOKUP(Q20,RegList!$B:$N,10,FALSE)="","",VLOOKUP(Q20,RegList!$B:$N,10,FALSE)))</f>
      </c>
      <c r="S20" s="359"/>
      <c r="T20" s="337"/>
      <c r="U20" s="337"/>
      <c r="W20" s="346"/>
    </row>
    <row r="21" spans="1:24" ht="18" customHeight="1" thickBot="1">
      <c r="A21" s="349"/>
      <c r="B21" s="342"/>
      <c r="C21" s="337"/>
      <c r="D21" s="337"/>
      <c r="E21" s="357"/>
      <c r="F21" s="360"/>
      <c r="G21" s="350">
        <f>IF(G20="","",VLOOKUP(G20,HjHoved!R:S,2,FALSE))</f>
      </c>
      <c r="H21" s="337"/>
      <c r="I21" s="337"/>
      <c r="J21" s="337"/>
      <c r="K21" s="337"/>
      <c r="L21" s="337"/>
      <c r="M21" s="337"/>
      <c r="N21" s="337"/>
      <c r="O21" s="337"/>
      <c r="P21" s="337"/>
      <c r="Q21" s="350">
        <f>IF(Q20="","",VLOOKUP(Q20,HjHoved!R:S,2,FALSE))</f>
      </c>
      <c r="R21" s="337"/>
      <c r="S21" s="359"/>
      <c r="T21" s="337"/>
      <c r="U21" s="337"/>
      <c r="V21" s="337"/>
      <c r="W21" s="349"/>
      <c r="X21" s="342"/>
    </row>
    <row r="22" spans="1:23" ht="18" customHeight="1" thickBot="1">
      <c r="A22" s="337"/>
      <c r="B22" s="337"/>
      <c r="C22" s="337"/>
      <c r="D22" s="337"/>
      <c r="E22" s="357"/>
      <c r="F22" s="337"/>
      <c r="G22" s="352">
        <f>IF(ISERROR(VLOOKUP("G22",HjHoved!P:R,2,FALSE)),IF(F31=F34,"",IF(ISERROR(ABS(F31)),E33,IF(ISERROR(ABS(F34)),E31,IF(ABS(F31)&gt;ABS(F34),E31,IF(ABS(F31)&lt;ABS(F34),E33))))),VLOOKUP("G22",HjHoved!P:R,3,FALSE))</f>
      </c>
      <c r="H22" s="335"/>
      <c r="I22" s="337"/>
      <c r="J22" s="337"/>
      <c r="K22" s="337"/>
      <c r="L22" s="337"/>
      <c r="M22" s="337"/>
      <c r="N22" s="337"/>
      <c r="O22" s="337"/>
      <c r="Q22" s="352">
        <f>IF(ISERROR(VLOOKUP("Q22",HjHoved!P:R,2,FALSE)),IF(T31=T34,"",IF(ISERROR(ABS(T31)),S33,IF(ISERROR(ABS(T34)),S31,IF(ABS(T31)&gt;ABS(T34),S31,IF(ABS(T31)&lt;ABS(T34),S33))))),VLOOKUP("Q22",HjHoved!P:R,3,FALSE))</f>
      </c>
      <c r="S22" s="359"/>
      <c r="T22" s="337"/>
      <c r="U22" s="337"/>
      <c r="V22" s="337"/>
      <c r="W22" s="337"/>
    </row>
    <row r="23" spans="1:24" ht="18" customHeight="1" thickBot="1">
      <c r="A23" s="341"/>
      <c r="B23" s="342"/>
      <c r="C23" s="337"/>
      <c r="D23" s="337"/>
      <c r="E23" s="357"/>
      <c r="F23" s="337"/>
      <c r="G23" s="353">
        <f>IF(G22="","",VLOOKUP(G22,HjHoved!R:S,2,FALSE))</f>
      </c>
      <c r="H23" s="342">
        <f>IF(G22="","",IF(VLOOKUP(G22,RegList!$B:$N,10,FALSE)="","",VLOOKUP(G22,RegList!$B:$N,10,FALSE)))</f>
      </c>
      <c r="I23" s="337"/>
      <c r="J23" s="337"/>
      <c r="K23" s="337"/>
      <c r="L23" s="337"/>
      <c r="M23" s="337"/>
      <c r="N23" s="337"/>
      <c r="O23" s="337"/>
      <c r="P23" s="337"/>
      <c r="Q23" s="353">
        <f>IF(Q22="","",VLOOKUP(Q22,HjHoved!R:S,2,FALSE))</f>
      </c>
      <c r="R23" s="342">
        <f>IF(Q22="","",IF(VLOOKUP(Q22,RegList!$B:$N,10,FALSE)="","",VLOOKUP(Q22,RegList!$B:$N,10,FALSE)))</f>
      </c>
      <c r="S23" s="359"/>
      <c r="T23" s="337"/>
      <c r="U23" s="337"/>
      <c r="W23" s="341"/>
      <c r="X23" s="342"/>
    </row>
    <row r="24" spans="1:23" ht="18" customHeight="1" thickBot="1">
      <c r="A24" s="344"/>
      <c r="B24" s="337"/>
      <c r="C24" s="345">
        <f>IF(ISERROR(VLOOKUP("C25",TabMatteA,2,FALSE)),"",IF(VLOOKUP("C25",TabMatteA,2,FALSE)=0,"","Fight No: "&amp;VLOOKUP("C25",TabMatteA,2,FALSE)))</f>
      </c>
      <c r="D24" s="337"/>
      <c r="E24" s="357"/>
      <c r="F24" s="337"/>
      <c r="G24" s="355"/>
      <c r="H24" s="343"/>
      <c r="I24" s="337"/>
      <c r="J24" s="337"/>
      <c r="K24" s="337"/>
      <c r="L24" s="337"/>
      <c r="M24" s="337"/>
      <c r="N24" s="337"/>
      <c r="O24" s="337"/>
      <c r="P24" s="337"/>
      <c r="Q24" s="356"/>
      <c r="R24" s="337"/>
      <c r="S24" s="359"/>
      <c r="T24" s="337"/>
      <c r="U24" s="358">
        <f>IF(ISERROR(VLOOKUP("U25",TabMatteA,2,FALSE)),"",IF(VLOOKUP("U25",TabMatteA,2,FALSE)=0,"","Fight No: "&amp;VLOOKUP("U25",TabMatteA,2,FALSE)))</f>
      </c>
      <c r="V24" s="337"/>
      <c r="W24" s="344"/>
    </row>
    <row r="25" spans="1:23" ht="18" customHeight="1" thickBot="1">
      <c r="A25" s="346"/>
      <c r="C25" s="347">
        <f>IF(ISERROR(VLOOKUP("C25",HjHoved!P:R,2,FALSE)),"",VLOOKUP("C25",HjHoved!P:R,3,FALSE))</f>
      </c>
      <c r="D25" s="342">
        <f>IF(C25="","",IF(VLOOKUP(C25,RegList!B:N,8,FALSE)="","",VLOOKUP(C25,RegList!B:N,8,FALSE)))</f>
      </c>
      <c r="E25" s="357"/>
      <c r="F25" s="337"/>
      <c r="G25" s="357"/>
      <c r="H25" s="343"/>
      <c r="I25" s="337"/>
      <c r="J25" s="337"/>
      <c r="K25" s="337"/>
      <c r="L25" s="337"/>
      <c r="M25" s="337"/>
      <c r="N25" s="337"/>
      <c r="O25" s="337"/>
      <c r="P25" s="337"/>
      <c r="Q25" s="359"/>
      <c r="R25" s="337"/>
      <c r="S25" s="359"/>
      <c r="U25" s="347">
        <f>IF(ISERROR(VLOOKUP("U25",HjHoved!P:R,2,FALSE)),"",VLOOKUP("U25",HjHoved!P:R,3,FALSE))</f>
      </c>
      <c r="V25" s="342">
        <f>IF(U25="","",IF(VLOOKUP(U25,RegList!B:N,8,FALSE)="","",VLOOKUP(U25,RegList!B:N,8,FALSE)))</f>
      </c>
      <c r="W25" s="346"/>
    </row>
    <row r="26" spans="1:24" ht="18" customHeight="1" thickBot="1">
      <c r="A26" s="349"/>
      <c r="B26" s="342"/>
      <c r="C26" s="350">
        <f>IF(C25="","",VLOOKUP(C25,HjHoved!R:S,2,FALSE))</f>
      </c>
      <c r="D26" s="337"/>
      <c r="E26" s="357"/>
      <c r="F26" s="337"/>
      <c r="G26" s="357"/>
      <c r="H26" s="343"/>
      <c r="I26" s="337"/>
      <c r="J26" s="337"/>
      <c r="K26" s="337"/>
      <c r="L26" s="337"/>
      <c r="M26" s="337"/>
      <c r="N26" s="337"/>
      <c r="O26" s="337"/>
      <c r="P26" s="337"/>
      <c r="Q26" s="359"/>
      <c r="R26" s="337"/>
      <c r="S26" s="359"/>
      <c r="T26" s="337"/>
      <c r="U26" s="350">
        <f>IF(U25="","",VLOOKUP(U25,HjHoved!R:S,2,FALSE))</f>
      </c>
      <c r="V26" s="337"/>
      <c r="W26" s="349"/>
      <c r="X26" s="342"/>
    </row>
    <row r="27" spans="1:23" ht="18" customHeight="1" thickBot="1">
      <c r="A27" s="337"/>
      <c r="B27" s="360"/>
      <c r="C27" s="352">
        <f>IF(ISERROR(VLOOKUP("C27",HjHoved!P:R,2,FALSE)),"",VLOOKUP("C27",HjHoved!P:R,3,FALSE))</f>
      </c>
      <c r="E27" s="357"/>
      <c r="F27" s="337"/>
      <c r="G27" s="357"/>
      <c r="K27" s="337"/>
      <c r="L27" s="363"/>
      <c r="M27" s="363"/>
      <c r="N27" s="363"/>
      <c r="O27" s="363"/>
      <c r="P27" s="337"/>
      <c r="Q27" s="359"/>
      <c r="R27" s="337"/>
      <c r="S27" s="359"/>
      <c r="U27" s="352">
        <f>IF(ISERROR(VLOOKUP("U27",HjHoved!P:R,2,FALSE)),"",VLOOKUP("U27",HjHoved!P:R,3,FALSE))</f>
      </c>
      <c r="W27" s="337"/>
    </row>
    <row r="28" spans="1:24" ht="18" customHeight="1" thickBot="1">
      <c r="A28" s="341"/>
      <c r="B28" s="342"/>
      <c r="C28" s="353">
        <f>IF(C27="","",VLOOKUP(C27,HjHoved!R:S,2,FALSE))</f>
      </c>
      <c r="D28" s="342">
        <f>IF(C27="","",IF(VLOOKUP(C27,RegList!B:N,8,FALSE)="","",VLOOKUP(C27,RegList!B:N,8,FALSE)))</f>
      </c>
      <c r="E28" s="357"/>
      <c r="F28" s="337"/>
      <c r="G28" s="357"/>
      <c r="K28" s="337"/>
      <c r="L28" s="337"/>
      <c r="M28" s="337"/>
      <c r="N28" s="337"/>
      <c r="O28" s="337"/>
      <c r="P28" s="337"/>
      <c r="Q28" s="359"/>
      <c r="R28" s="337"/>
      <c r="S28" s="359"/>
      <c r="T28" s="337"/>
      <c r="U28" s="353">
        <f>IF(U27="","",VLOOKUP(U27,HjHoved!R:S,2,FALSE))</f>
      </c>
      <c r="V28" s="342">
        <f>IF(U27="","",IF(VLOOKUP(U27,RegList!B:N,8,FALSE)="","",VLOOKUP(U27,RegList!B:N,8,FALSE)))</f>
      </c>
      <c r="W28" s="341"/>
      <c r="X28" s="342"/>
    </row>
    <row r="29" spans="1:23" ht="18" customHeight="1" hidden="1" outlineLevel="1">
      <c r="A29" s="344"/>
      <c r="B29" s="337"/>
      <c r="C29" s="355"/>
      <c r="D29" s="337"/>
      <c r="E29" s="357"/>
      <c r="F29" s="337"/>
      <c r="G29" s="357"/>
      <c r="K29" s="337"/>
      <c r="L29" s="337"/>
      <c r="M29" s="337"/>
      <c r="N29" s="337"/>
      <c r="O29" s="337"/>
      <c r="P29" s="337"/>
      <c r="Q29" s="359"/>
      <c r="R29" s="337"/>
      <c r="S29" s="359"/>
      <c r="T29" s="337"/>
      <c r="U29" s="356"/>
      <c r="V29" s="337"/>
      <c r="W29" s="344"/>
    </row>
    <row r="30" spans="1:23" ht="18" customHeight="1" collapsed="1" thickBot="1">
      <c r="A30" s="346"/>
      <c r="C30" s="357"/>
      <c r="D30" s="337"/>
      <c r="E30" s="361">
        <f>IF(ISERROR(VLOOKUP("E33",TabMatteA,2,FALSE)),"",IF(VLOOKUP("E33",TabMatteA,2,FALSE)=0,"","Fight No: "&amp;VLOOKUP("E33",TabMatteA,2,FALSE)))</f>
      </c>
      <c r="F30" s="337"/>
      <c r="G30" s="357"/>
      <c r="K30" s="337"/>
      <c r="L30" s="358" t="str">
        <f>IF(M2="","","Finale "&amp;FinaleNr)</f>
        <v>Finale 5</v>
      </c>
      <c r="M30" s="337"/>
      <c r="N30" s="337"/>
      <c r="O30" s="337"/>
      <c r="P30" s="337"/>
      <c r="Q30" s="359"/>
      <c r="R30" s="337"/>
      <c r="S30" s="362">
        <f>IF(ISERROR(VLOOKUP("S33",TabMatteA,2,FALSE)),"",IF(VLOOKUP("S33",TabMatteA,2,FALSE)=0,"","Fight No: "&amp;VLOOKUP("S33",TabMatteA,2,FALSE)))</f>
      </c>
      <c r="T30" s="337"/>
      <c r="U30" s="359"/>
      <c r="W30" s="346"/>
    </row>
    <row r="31" spans="1:24" ht="18" customHeight="1" thickBot="1">
      <c r="A31" s="349"/>
      <c r="B31" s="342"/>
      <c r="C31" s="357"/>
      <c r="D31" s="337"/>
      <c r="E31" s="347">
        <f>IF(ISERROR(VLOOKUP("E31",HjHoved!P:R,2,FALSE)),IF(D25=D28,"",IF(ISERROR(ABS(D25)),C27,IF(ISERROR(ABS(D28)),C25,IF(ABS(D25)&gt;ABS(D28),C25,IF(ABS(D25)&lt;ABS(D28),C27))))),VLOOKUP("E31",HjHoved!P:R,3,FALSE))</f>
      </c>
      <c r="F31" s="342">
        <f>IF(E31="","",IF(VLOOKUP(E31,RegList!$B:$N,9,FALSE)="","",VLOOKUP(E31,RegList!$B:$N,9,FALSE)))</f>
      </c>
      <c r="G31" s="357"/>
      <c r="H31" s="343"/>
      <c r="K31" s="337"/>
      <c r="L31" s="347" t="str">
        <f>IF(ISERROR(VLOOKUP("L31",HjHoved!P:R,2,FALSE)),IF(J40=J43,"",IF(ISERROR(ABS(J40)),I42,IF(ISERROR(ABS(J43)),I40,IF(ABS(J40)&gt;ABS(J43),I40,IF(ABS(J40)&lt;ABS(J43),I42))))),VLOOKUP("L31",HjHoved!P:R,3,FALSE))</f>
        <v>Mathias Støffringshaug</v>
      </c>
      <c r="M31" s="342">
        <f>IF(L31="","",IF(VLOOKUP(L31,RegList!$B:$N,13,FALSE)="","",VLOOKUP(L31,RegList!$B:$N,13,FALSE)))</f>
        <v>12</v>
      </c>
      <c r="N31" s="337"/>
      <c r="O31" s="337"/>
      <c r="P31" s="337"/>
      <c r="Q31" s="359"/>
      <c r="S31" s="347">
        <f>IF(ISERROR(VLOOKUP("S31",HjHoved!P:R,2,FALSE)),IF(V25=V28,"",IF(ISERROR(ABS(V25)),U27,IF(ISERROR(ABS(V28)),U25,IF(ABS(V25)&gt;ABS(V28),U25,IF(ABS(V25)&lt;ABS(V28),U27))))),VLOOKUP("S31",HjHoved!P:R,3,FALSE))</f>
      </c>
      <c r="T31" s="342">
        <f>IF(S31="","",IF(VLOOKUP(S31,RegList!$B:$N,9,FALSE)="","",VLOOKUP(S31,RegList!$B:$N,9,FALSE)))</f>
      </c>
      <c r="U31" s="359"/>
      <c r="V31" s="337"/>
      <c r="W31" s="349"/>
      <c r="X31" s="342"/>
    </row>
    <row r="32" spans="1:23" ht="18" customHeight="1" thickBot="1">
      <c r="A32" s="337"/>
      <c r="B32" s="337"/>
      <c r="C32" s="357"/>
      <c r="D32" s="360"/>
      <c r="E32" s="350">
        <f>IF(E31="","",VLOOKUP(E31,HjHoved!R:S,2,FALSE))</f>
      </c>
      <c r="F32" s="337"/>
      <c r="G32" s="357"/>
      <c r="H32" s="343"/>
      <c r="K32" s="337"/>
      <c r="L32" s="350" t="str">
        <f>IF(L31="","",VLOOKUP(L31,HjHoved!R:S,2,FALSE))</f>
        <v>Verdal Kampsportklubb</v>
      </c>
      <c r="M32" s="337"/>
      <c r="N32" s="337"/>
      <c r="O32" s="337"/>
      <c r="P32" s="337"/>
      <c r="Q32" s="359"/>
      <c r="R32" s="337"/>
      <c r="S32" s="350">
        <f>IF(S31="","",VLOOKUP(S31,HjHoved!R:S,2,FALSE))</f>
      </c>
      <c r="T32" s="337"/>
      <c r="U32" s="359"/>
      <c r="V32" s="337"/>
      <c r="W32" s="337"/>
    </row>
    <row r="33" spans="1:24" ht="18" customHeight="1" thickBot="1">
      <c r="A33" s="341"/>
      <c r="B33" s="342"/>
      <c r="C33" s="357"/>
      <c r="D33" s="337"/>
      <c r="E33" s="352">
        <f>IF(ISERROR(VLOOKUP("E33",HjHoved!P:R,2,FALSE)),IF(D36=D39,"",IF(ISERROR(ABS(D36)),C38,IF(ISERROR(ABS(D39)),C36,IF(ABS(D36)&gt;ABS(D39),C36,IF(ABS(D36)&lt;ABS(D39),C38))))),VLOOKUP("E33",HjHoved!P:R,3,FALSE))</f>
      </c>
      <c r="G33" s="357"/>
      <c r="H33" s="343"/>
      <c r="K33" s="337"/>
      <c r="L33" s="352" t="str">
        <f>IF(ISERROR(VLOOKUP("L33",HjHoved!P:R,2,FALSE)),IF(P40=P43,"",IF(ISERROR(ABS(P40)),O42,IF(ISERROR(ABS(P43)),O40,IF(ABS(P40)&gt;ABS(P43),O40,IF(ABS(P40)&lt;ABS(P43),O42))))),VLOOKUP("L33",HjHoved!P:R,3,FALSE))</f>
        <v>Nemet Rostam</v>
      </c>
      <c r="M33" s="337"/>
      <c r="N33" s="337"/>
      <c r="O33" s="337"/>
      <c r="P33" s="337"/>
      <c r="Q33" s="359"/>
      <c r="S33" s="352">
        <f>IF(ISERROR(VLOOKUP("S33",HjHoved!P:R,2,FALSE)),IF(V36=V39,"",IF(ISERROR(ABS(V36)),U38,IF(ISERROR(ABS(V39)),U36,IF(ABS(V36)&gt;ABS(V39),U36,IF(ABS(V36)&lt;ABS(V39),U38))))),VLOOKUP("S33",HjHoved!P:R,3,FALSE))</f>
      </c>
      <c r="U33" s="359"/>
      <c r="W33" s="341"/>
      <c r="X33" s="342"/>
    </row>
    <row r="34" spans="1:23" ht="18" customHeight="1" thickBot="1">
      <c r="A34" s="344"/>
      <c r="B34" s="337"/>
      <c r="C34" s="357"/>
      <c r="D34" s="337"/>
      <c r="E34" s="353">
        <f>IF(E33="","",VLOOKUP(E33,HjHoved!R:S,2,FALSE))</f>
      </c>
      <c r="F34" s="342">
        <f>IF(E33="","",IF(VLOOKUP(E33,RegList!$B:$N,9,FALSE)="","",VLOOKUP(E33,RegList!$B:$N,9,FALSE)))</f>
      </c>
      <c r="G34" s="357"/>
      <c r="H34" s="343"/>
      <c r="K34" s="337"/>
      <c r="L34" s="353" t="str">
        <f>IF(L33="","",VLOOKUP(L33,HjHoved!R:S,2,FALSE))</f>
        <v>Horten Kickboxingklubb</v>
      </c>
      <c r="M34" s="342">
        <f>IF(L33="","",IF(VLOOKUP(L33,RegList!$B:$N,13,FALSE)="","",VLOOKUP(L33,RegList!$B:$N,13,FALSE)))</f>
        <v>2</v>
      </c>
      <c r="N34" s="337"/>
      <c r="O34" s="337"/>
      <c r="P34" s="337"/>
      <c r="Q34" s="359"/>
      <c r="R34" s="337"/>
      <c r="S34" s="353">
        <f>IF(S33="","",VLOOKUP(S33,HjHoved!R:S,2,FALSE))</f>
      </c>
      <c r="T34" s="342">
        <f>IF(S33="","",IF(VLOOKUP(S33,RegList!$B:$N,9,FALSE)="","",VLOOKUP(S33,RegList!$B:$N,9,FALSE)))</f>
      </c>
      <c r="U34" s="359"/>
      <c r="V34" s="337"/>
      <c r="W34" s="344"/>
    </row>
    <row r="35" spans="1:23" ht="18" customHeight="1" thickBot="1">
      <c r="A35" s="346"/>
      <c r="C35" s="361">
        <f>IF(ISERROR(VLOOKUP("C36",TabMatteA,2,FALSE)),"",IF(VLOOKUP("C36",TabMatteA,2,FALSE)=0,"","Fight No: "&amp;VLOOKUP("C36",TabMatteA,2,FALSE)))</f>
      </c>
      <c r="D35" s="337"/>
      <c r="E35" s="364"/>
      <c r="F35" s="337"/>
      <c r="G35" s="357"/>
      <c r="H35" s="343"/>
      <c r="K35" s="337"/>
      <c r="L35" s="365"/>
      <c r="M35" s="337"/>
      <c r="N35" s="337"/>
      <c r="O35" s="337"/>
      <c r="P35" s="337"/>
      <c r="Q35" s="359"/>
      <c r="R35" s="337"/>
      <c r="S35" s="337"/>
      <c r="T35" s="337"/>
      <c r="U35" s="362">
        <f>IF(ISERROR(VLOOKUP("U36",TabMatteA,2,FALSE)),"",IF(VLOOKUP("U36",TabMatteA,2,FALSE)=0,"","Fight No: "&amp;VLOOKUP("U36",TabMatteA,2,FALSE)))</f>
      </c>
      <c r="W35" s="346"/>
    </row>
    <row r="36" spans="1:24" ht="18" customHeight="1" thickBot="1">
      <c r="A36" s="349"/>
      <c r="B36" s="342"/>
      <c r="C36" s="347">
        <f>IF(ISERROR(VLOOKUP("C36",HjHoved!P:R,2,FALSE)),"",VLOOKUP("C36",HjHoved!P:R,3,FALSE))</f>
      </c>
      <c r="D36" s="342">
        <f>IF(C36="","",IF(VLOOKUP(C36,RegList!B:N,8,FALSE)="","",VLOOKUP(C36,RegList!B:N,8,FALSE)))</f>
      </c>
      <c r="E36" s="363"/>
      <c r="F36" s="337"/>
      <c r="G36" s="357"/>
      <c r="K36" s="337"/>
      <c r="L36" s="366"/>
      <c r="M36" s="337"/>
      <c r="N36" s="337"/>
      <c r="O36" s="337"/>
      <c r="P36" s="337"/>
      <c r="Q36" s="359"/>
      <c r="R36" s="337"/>
      <c r="S36" s="337"/>
      <c r="U36" s="347">
        <f>IF(ISERROR(VLOOKUP("U36",HjHoved!P:R,2,FALSE)),"",VLOOKUP("U36",HjHoved!P:R,3,FALSE))</f>
      </c>
      <c r="V36" s="342">
        <f>IF(U36="","",IF(VLOOKUP(U36,RegList!B:N,8,FALSE)="","",VLOOKUP(U36,RegList!B:N,8,FALSE)))</f>
      </c>
      <c r="W36" s="349"/>
      <c r="X36" s="342"/>
    </row>
    <row r="37" spans="1:23" ht="18" customHeight="1" thickBot="1">
      <c r="A37" s="337"/>
      <c r="B37" s="360"/>
      <c r="C37" s="350">
        <f>IF(C36="","",VLOOKUP(C36,HjHoved!R:S,2,FALSE))</f>
      </c>
      <c r="D37" s="337"/>
      <c r="E37" s="363"/>
      <c r="F37" s="337"/>
      <c r="G37" s="357"/>
      <c r="K37" s="337"/>
      <c r="L37" s="366"/>
      <c r="M37" s="337"/>
      <c r="N37" s="337"/>
      <c r="O37" s="337"/>
      <c r="P37" s="337"/>
      <c r="Q37" s="359"/>
      <c r="R37" s="337"/>
      <c r="S37" s="337"/>
      <c r="T37" s="337"/>
      <c r="U37" s="350">
        <f>IF(U36="","",VLOOKUP(U36,HjHoved!R:S,2,FALSE))</f>
      </c>
      <c r="V37" s="337"/>
      <c r="W37" s="337"/>
    </row>
    <row r="38" spans="1:24" ht="18" customHeight="1" thickBot="1">
      <c r="A38" s="341"/>
      <c r="B38" s="342"/>
      <c r="C38" s="352">
        <f>IF(ISERROR(VLOOKUP("C38",HjHoved!P:R,2,FALSE)),"",VLOOKUP("C38",HjHoved!P:R,3,FALSE))</f>
      </c>
      <c r="E38" s="363"/>
      <c r="F38" s="337"/>
      <c r="G38" s="357"/>
      <c r="K38" s="337"/>
      <c r="L38" s="366"/>
      <c r="M38" s="337"/>
      <c r="N38" s="337"/>
      <c r="O38" s="337"/>
      <c r="P38" s="337"/>
      <c r="Q38" s="359"/>
      <c r="R38" s="337"/>
      <c r="S38" s="337"/>
      <c r="U38" s="352">
        <f>IF(ISERROR(VLOOKUP("U38",HjHoved!P:R,2,FALSE)),"",VLOOKUP("U38",HjHoved!P:R,3,FALSE))</f>
      </c>
      <c r="W38" s="341"/>
      <c r="X38" s="342"/>
    </row>
    <row r="39" spans="1:23" ht="18" customHeight="1" thickBot="1">
      <c r="A39" s="344"/>
      <c r="B39" s="337"/>
      <c r="C39" s="353">
        <f>IF(C38="","",VLOOKUP(C38,HjHoved!R:S,2,FALSE))</f>
      </c>
      <c r="D39" s="342">
        <f>IF(C38="","",IF(VLOOKUP(C38,RegList!B:N,8,FALSE)="","",VLOOKUP(C38,RegList!B:N,8,FALSE)))</f>
      </c>
      <c r="E39" s="363"/>
      <c r="F39" s="337"/>
      <c r="G39" s="357"/>
      <c r="I39" s="358" t="str">
        <f>IF(ISERROR(VLOOKUP("I42",TabMatteA,2,FALSE)),"",IF(VLOOKUP("I42",TabMatteA,2,FALSE)=0,"","Fight No: "&amp;VLOOKUP("I42",TabMatteA,2,FALSE)))</f>
        <v>Fight No: 13</v>
      </c>
      <c r="K39" s="337"/>
      <c r="L39" s="366"/>
      <c r="M39" s="337"/>
      <c r="N39" s="337"/>
      <c r="O39" s="358">
        <f>IF(ISERROR(VLOOKUP("O42",TabMatteA,2,FALSE)),"",IF(VLOOKUP("O42",TabMatteA,2,FALSE)=0,"","Fight No: "&amp;VLOOKUP("O42",TabMatteA,2,FALSE)))</f>
      </c>
      <c r="P39" s="337"/>
      <c r="Q39" s="359"/>
      <c r="R39" s="337"/>
      <c r="S39" s="337"/>
      <c r="T39" s="337"/>
      <c r="U39" s="353">
        <f>IF(U38="","",VLOOKUP(U38,HjHoved!R:S,2,FALSE))</f>
      </c>
      <c r="V39" s="342">
        <f>IF(U38="","",IF(VLOOKUP(U38,RegList!B:N,8,FALSE)="","",VLOOKUP(U38,RegList!B:N,8,FALSE)))</f>
      </c>
      <c r="W39" s="344"/>
    </row>
    <row r="40" spans="1:23" ht="18" customHeight="1" thickBot="1">
      <c r="A40" s="346"/>
      <c r="C40" s="337"/>
      <c r="D40" s="337"/>
      <c r="E40" s="363"/>
      <c r="F40" s="337"/>
      <c r="G40" s="357"/>
      <c r="I40" s="347" t="str">
        <f>IF(ISERROR(VLOOKUP("I40",HjHoved!P:R,2,FALSE)),IF(H20=H23,"",IF(ISERROR(ABS(H20)),G22,IF(ISERROR(ABS(H23)),G20,IF(ABS(H20)&gt;ABS(H23),G20,IF(ABS(H20)&lt;ABS(H23),G22))))),VLOOKUP("I40",HjHoved!P:R,3,FALSE))</f>
        <v>Mathias Støffringshaug</v>
      </c>
      <c r="J40" s="342">
        <f>IF(I40="","",IF(VLOOKUP(I40,RegList!$B:$N,11,FALSE)="","",VLOOKUP(I40,RegList!$B:$N,11,FALSE)))</f>
        <v>12</v>
      </c>
      <c r="K40" s="367"/>
      <c r="L40" s="366"/>
      <c r="O40" s="347">
        <f>IF(ISERROR(VLOOKUP("O40",HjHoved!P:R,2,FALSE)),IF(R20=R23,"",IF(ISERROR(ABS(R20)),Q22,IF(ISERROR(ABS(R23)),Q20,IF(ABS(R20)&gt;ABS(R23),Q20,IF(ABS(R20)&lt;ABS(R23),Q22))))),VLOOKUP("O40",HjHoved!P:R,3,FALSE))</f>
      </c>
      <c r="P40" s="342">
        <f>IF(O40="","",IF(VLOOKUP(O40,RegList!$B:$N,11,FALSE)="","",VLOOKUP(O40,RegList!$B:$N,11,FALSE)))</f>
      </c>
      <c r="Q40" s="359"/>
      <c r="R40" s="337"/>
      <c r="S40" s="337"/>
      <c r="T40" s="337"/>
      <c r="U40" s="337"/>
      <c r="W40" s="346"/>
    </row>
    <row r="41" spans="1:24" ht="18" customHeight="1" thickBot="1">
      <c r="A41" s="349"/>
      <c r="B41" s="342"/>
      <c r="C41" s="337"/>
      <c r="D41" s="337"/>
      <c r="E41" s="363"/>
      <c r="F41" s="337"/>
      <c r="G41" s="357"/>
      <c r="H41" s="368"/>
      <c r="I41" s="350" t="str">
        <f>IF(I40="","",VLOOKUP(I40,HjHoved!R:S,2,FALSE))</f>
        <v>Verdal Kampsportklubb</v>
      </c>
      <c r="J41" s="369"/>
      <c r="K41" s="369"/>
      <c r="L41" s="366"/>
      <c r="M41" s="369"/>
      <c r="N41" s="360"/>
      <c r="O41" s="350">
        <f>IF(O40="","",VLOOKUP(O40,HjHoved!R:S,2,FALSE))</f>
      </c>
      <c r="P41" s="369"/>
      <c r="Q41" s="359"/>
      <c r="R41" s="337"/>
      <c r="S41" s="337"/>
      <c r="T41" s="337"/>
      <c r="U41" s="337"/>
      <c r="V41" s="337"/>
      <c r="W41" s="349"/>
      <c r="X41" s="342"/>
    </row>
    <row r="42" spans="1:23" ht="18" customHeight="1" thickBot="1">
      <c r="A42" s="337"/>
      <c r="B42" s="337"/>
      <c r="C42" s="337"/>
      <c r="D42" s="337"/>
      <c r="E42" s="363"/>
      <c r="F42" s="337"/>
      <c r="G42" s="357"/>
      <c r="H42" s="368"/>
      <c r="I42" s="352" t="str">
        <f>IF(ISERROR(VLOOKUP("I42",HjHoved!P:R,2,FALSE)),IF(H60=H63,"",IF(ISERROR(ABS(H60)),G62,IF(ISERROR(ABS(H63)),G60,IF(ABS(H60)&gt;ABS(H63),G60,IF(ABS(H60)&lt;ABS(H63),G62))))),VLOOKUP("I42",HjHoved!P:R,3,FALSE))</f>
        <v>Daniel Rye</v>
      </c>
      <c r="J42" s="369"/>
      <c r="K42" s="369"/>
      <c r="L42" s="366"/>
      <c r="M42" s="369"/>
      <c r="N42" s="360"/>
      <c r="O42" s="352">
        <f>IF(ISERROR(VLOOKUP("O42",HjHoved!P:R,2,FALSE)),IF(R60=R63,"",IF(ISERROR(ABS(R60)),Q62,IF(ISERROR(ABS(R63)),Q60,IF(ABS(R60)&gt;ABS(R63),Q60,IF(ABS(R60)&lt;ABS(R63),Q62))))),VLOOKUP("O42",HjHoved!P:R,3,FALSE))</f>
      </c>
      <c r="P42" s="369"/>
      <c r="Q42" s="359"/>
      <c r="R42" s="337"/>
      <c r="S42" s="337"/>
      <c r="T42" s="337"/>
      <c r="U42" s="337"/>
      <c r="V42" s="337"/>
      <c r="W42" s="337"/>
    </row>
    <row r="43" spans="1:24" ht="18" customHeight="1" thickBot="1">
      <c r="A43" s="341"/>
      <c r="B43" s="342"/>
      <c r="C43" s="337"/>
      <c r="D43" s="337"/>
      <c r="E43" s="363"/>
      <c r="F43" s="337"/>
      <c r="G43" s="357"/>
      <c r="I43" s="353" t="str">
        <f>IF(I42="","",VLOOKUP(I42,HjHoved!R:S,2,FALSE))</f>
        <v>Aktiv Kickboxingklubb</v>
      </c>
      <c r="J43" s="342">
        <f>IF(I42="","",IF(VLOOKUP(I42,RegList!$B:$N,11,FALSE)="","",VLOOKUP(I42,RegList!$B:$N,11,FALSE)))</f>
        <v>2</v>
      </c>
      <c r="K43" s="367"/>
      <c r="L43" s="366"/>
      <c r="O43" s="353">
        <f>IF(O42="","",VLOOKUP(O42,HjHoved!R:S,2,FALSE))</f>
      </c>
      <c r="P43" s="342">
        <f>IF(O42="","",IF(VLOOKUP(O42,RegList!$B:$N,11,FALSE)="","",VLOOKUP(O42,RegList!$B:$N,11,FALSE)))</f>
      </c>
      <c r="Q43" s="359"/>
      <c r="R43" s="337"/>
      <c r="S43" s="337"/>
      <c r="T43" s="337"/>
      <c r="U43" s="337"/>
      <c r="W43" s="341"/>
      <c r="X43" s="342"/>
    </row>
    <row r="44" spans="1:23" ht="18" customHeight="1" thickBot="1">
      <c r="A44" s="344"/>
      <c r="B44" s="337"/>
      <c r="C44" s="345">
        <f>IF(ISERROR(VLOOKUP("C45",TabMatteA,2,FALSE)),"",IF(VLOOKUP("C45",TabMatteA,2,FALSE)=0,"","Fight No: "&amp;VLOOKUP("C45",TabMatteA,2,FALSE)))</f>
      </c>
      <c r="D44" s="337"/>
      <c r="E44" s="363"/>
      <c r="F44" s="337"/>
      <c r="G44" s="357"/>
      <c r="H44" s="343"/>
      <c r="I44" s="337"/>
      <c r="L44" s="366"/>
      <c r="M44" s="337"/>
      <c r="N44" s="337"/>
      <c r="P44" s="337"/>
      <c r="Q44" s="359"/>
      <c r="R44" s="337"/>
      <c r="S44" s="337"/>
      <c r="T44" s="337"/>
      <c r="U44" s="358">
        <f>IF(ISERROR(VLOOKUP("U45",TabMatteA,2,FALSE)),"",IF(VLOOKUP("U45",TabMatteA,2,FALSE)=0,"","Fight No: "&amp;VLOOKUP("U45",TabMatteA,2,FALSE)))</f>
      </c>
      <c r="V44" s="337"/>
      <c r="W44" s="344"/>
    </row>
    <row r="45" spans="1:23" ht="18" customHeight="1" thickBot="1">
      <c r="A45" s="346"/>
      <c r="C45" s="347">
        <f>IF(ISERROR(VLOOKUP("C45",HjHoved!P:R,2,FALSE)),"",VLOOKUP("C45",HjHoved!P:R,3,FALSE))</f>
      </c>
      <c r="D45" s="342">
        <f>IF(C45="","",IF(VLOOKUP(C45,RegList!B:N,8,FALSE)="","",VLOOKUP(C45,RegList!B:N,8,FALSE)))</f>
      </c>
      <c r="E45" s="363"/>
      <c r="F45" s="337"/>
      <c r="G45" s="357"/>
      <c r="H45" s="343"/>
      <c r="I45" s="337"/>
      <c r="L45" s="366"/>
      <c r="M45" s="337"/>
      <c r="N45" s="337"/>
      <c r="P45" s="337"/>
      <c r="Q45" s="359"/>
      <c r="R45" s="337"/>
      <c r="S45" s="337"/>
      <c r="U45" s="347">
        <f>IF(ISERROR(VLOOKUP("U45",HjHoved!P:R,2,FALSE)),"",VLOOKUP("U45",HjHoved!P:R,3,FALSE))</f>
      </c>
      <c r="V45" s="342">
        <f>IF(U45="","",IF(VLOOKUP(U45,RegList!B:N,8,FALSE)="","",VLOOKUP(U45,RegList!B:N,8,FALSE)))</f>
      </c>
      <c r="W45" s="346"/>
    </row>
    <row r="46" spans="1:24" ht="18" customHeight="1" thickBot="1">
      <c r="A46" s="349"/>
      <c r="B46" s="342"/>
      <c r="C46" s="350">
        <f>IF(C45="","",VLOOKUP(C45,HjHoved!R:S,2,FALSE))</f>
      </c>
      <c r="D46" s="337"/>
      <c r="E46" s="363"/>
      <c r="F46" s="337"/>
      <c r="G46" s="357"/>
      <c r="H46" s="343"/>
      <c r="I46" s="337"/>
      <c r="L46" s="366"/>
      <c r="M46" s="337"/>
      <c r="N46" s="337"/>
      <c r="Q46" s="359"/>
      <c r="R46" s="337"/>
      <c r="S46" s="337"/>
      <c r="T46" s="337"/>
      <c r="U46" s="350">
        <f>IF(U45="","",VLOOKUP(U45,HjHoved!R:S,2,FALSE))</f>
      </c>
      <c r="V46" s="337"/>
      <c r="W46" s="349"/>
      <c r="X46" s="342"/>
    </row>
    <row r="47" spans="1:23" ht="18" customHeight="1" thickBot="1">
      <c r="A47" s="337"/>
      <c r="B47" s="360"/>
      <c r="C47" s="352">
        <f>IF(ISERROR(VLOOKUP("C47",HjHoved!P:R,2,FALSE)),"",VLOOKUP("C47",HjHoved!P:R,3,FALSE))</f>
      </c>
      <c r="E47" s="363"/>
      <c r="F47" s="337"/>
      <c r="G47" s="357"/>
      <c r="H47" s="343"/>
      <c r="I47" s="337"/>
      <c r="L47" s="366"/>
      <c r="M47" s="337"/>
      <c r="N47" s="337"/>
      <c r="Q47" s="359"/>
      <c r="R47" s="337"/>
      <c r="S47" s="337"/>
      <c r="U47" s="352">
        <f>IF(ISERROR(VLOOKUP("U47",HjHoved!P:R,2,FALSE)),"",VLOOKUP("U47",HjHoved!P:R,3,FALSE))</f>
      </c>
      <c r="W47" s="337"/>
    </row>
    <row r="48" spans="1:24" ht="18" customHeight="1" thickBot="1">
      <c r="A48" s="341"/>
      <c r="B48" s="342"/>
      <c r="C48" s="353">
        <f>IF(C47="","",VLOOKUP(C47,HjHoved!R:S,2,FALSE))</f>
      </c>
      <c r="D48" s="342">
        <f>IF(C47="","",IF(VLOOKUP(C47,RegList!B:N,8,FALSE)="","",VLOOKUP(C47,RegList!B:N,8,FALSE)))</f>
      </c>
      <c r="E48" s="363"/>
      <c r="F48" s="337"/>
      <c r="G48" s="357"/>
      <c r="H48" s="343"/>
      <c r="I48" s="337"/>
      <c r="L48" s="370" t="str">
        <f>IF(M2="","",IF(BronzeNr=0,"No Bronze Finale","Bronze Finale "&amp;BronzeNr))</f>
        <v>No Bronze Finale</v>
      </c>
      <c r="M48" s="337"/>
      <c r="N48" s="337"/>
      <c r="O48" s="363"/>
      <c r="P48" s="337"/>
      <c r="Q48" s="359"/>
      <c r="R48" s="337"/>
      <c r="S48" s="337"/>
      <c r="T48" s="337"/>
      <c r="U48" s="353">
        <f>IF(U47="","",VLOOKUP(U47,HjHoved!R:S,2,FALSE))</f>
      </c>
      <c r="V48" s="342">
        <f>IF(U47="","",IF(VLOOKUP(U47,RegList!B:N,8,FALSE)="","",VLOOKUP(U47,RegList!B:N,8,FALSE)))</f>
      </c>
      <c r="W48" s="341"/>
      <c r="X48" s="342"/>
    </row>
    <row r="49" spans="1:23" ht="18" customHeight="1" thickBot="1">
      <c r="A49" s="344"/>
      <c r="B49" s="337"/>
      <c r="C49" s="355"/>
      <c r="D49" s="337"/>
      <c r="E49" s="363"/>
      <c r="F49" s="337"/>
      <c r="G49" s="357"/>
      <c r="H49" s="343"/>
      <c r="I49" s="337"/>
      <c r="L49" s="347" t="str">
        <f>IF(ISERROR(VLOOKUP("L51",HjHoved!P:R,2,FALSE)),IF(J40=J43,"",IF(ISERROR(ABS(J40)),I40,IF(ISERROR(ABS(J43)),I42,IF(ABS(J40)&gt;ABS(J43),I42,IF(ABS(J40)&lt;ABS(J43),I40))))),VLOOKUP("L51",HjHoved!P:R,3,FALSE))</f>
        <v>Daniel Rye</v>
      </c>
      <c r="M49" s="342">
        <f>IF(L49="","",IF(VLOOKUP(L49,RegList!$B:$N,12,FALSE)="","",VLOOKUP(L49,RegList!$B:$N,12,FALSE)))</f>
      </c>
      <c r="N49" s="337"/>
      <c r="O49" s="363"/>
      <c r="P49" s="337"/>
      <c r="Q49" s="359"/>
      <c r="R49" s="337"/>
      <c r="S49" s="337"/>
      <c r="T49" s="337"/>
      <c r="U49" s="356"/>
      <c r="V49" s="337"/>
      <c r="W49" s="344"/>
    </row>
    <row r="50" spans="1:23" ht="18" customHeight="1" thickBot="1">
      <c r="A50" s="346"/>
      <c r="C50" s="357"/>
      <c r="D50" s="337"/>
      <c r="E50" s="358">
        <f>IF(ISERROR(VLOOKUP("E53",TabMatteA,2,FALSE)),"",IF(VLOOKUP("E53",TabMatteA,2,FALSE)=0,"","Fight No: "&amp;VLOOKUP("E53",TabMatteA,2,FALSE)))</f>
      </c>
      <c r="F50" s="337"/>
      <c r="G50" s="357"/>
      <c r="H50" s="343"/>
      <c r="I50" s="337"/>
      <c r="L50" s="350" t="str">
        <f>IF(L49="","",VLOOKUP(L49,HjHoved!R:S,2,FALSE))</f>
        <v>Aktiv Kickboxingklubb</v>
      </c>
      <c r="M50" s="337"/>
      <c r="N50" s="337"/>
      <c r="O50" s="363"/>
      <c r="P50" s="337"/>
      <c r="Q50" s="359"/>
      <c r="R50" s="337"/>
      <c r="S50" s="358">
        <f>IF(ISERROR(VLOOKUP("S53",TabMatteA,2,FALSE)),"",IF(VLOOKUP("S53",TabMatteA,2,FALSE)=0,"","Fight No: "&amp;VLOOKUP("S53",TabMatteA,2,FALSE)))</f>
      </c>
      <c r="T50" s="337"/>
      <c r="U50" s="359"/>
      <c r="W50" s="346"/>
    </row>
    <row r="51" spans="1:24" ht="18" customHeight="1" thickBot="1">
      <c r="A51" s="349"/>
      <c r="B51" s="342"/>
      <c r="C51" s="357"/>
      <c r="D51" s="337"/>
      <c r="E51" s="347">
        <f>IF(ISERROR(VLOOKUP("E51",HjHoved!P:R,2,FALSE)),IF(D45=D48,"",IF(ISERROR(ABS(D45)),C47,IF(ISERROR(ABS(D48)),C45,IF(ABS(D45)&gt;ABS(D48),C45,IF(ABS(D45)&lt;ABS(D48),C47))))),VLOOKUP("E51",HjHoved!P:R,3,FALSE))</f>
      </c>
      <c r="F51" s="342">
        <f>IF(E51="","",IF(VLOOKUP(E51,RegList!$B:$N,9,FALSE)="","",VLOOKUP(E51,RegList!$B:$N,9,FALSE)))</f>
      </c>
      <c r="G51" s="357"/>
      <c r="H51" s="343"/>
      <c r="I51" s="337"/>
      <c r="J51" s="337"/>
      <c r="L51" s="352">
        <f>IF(ISERROR(VLOOKUP("L49",HjHoved!P:R,2,FALSE)),IF(P40=P43,"",IF(ISERROR(ABS(P40)),O40,IF(ISERROR(ABS(P43)),O42,IF(ABS(P40)&gt;ABS(P43),O42,IF(ABS(P40)&lt;ABS(P43),O40))))),VLOOKUP("L49",HjHoved!P:R,3,FALSE))</f>
      </c>
      <c r="M51" s="337"/>
      <c r="N51" s="337"/>
      <c r="O51" s="363"/>
      <c r="P51" s="337"/>
      <c r="Q51" s="359"/>
      <c r="S51" s="347">
        <f>IF(ISERROR(VLOOKUP("S51",HjHoved!P:R,2,FALSE)),IF(V45=V48,"",IF(ISERROR(ABS(V45)),U47,IF(ISERROR(ABS(V48)),U45,IF(ABS(V45)&gt;ABS(V48),U45,IF(ABS(V45)&lt;ABS(V48),U47))))),VLOOKUP("S51",HjHoved!P:R,3,FALSE))</f>
      </c>
      <c r="T51" s="342">
        <f>IF(S51="","",IF(VLOOKUP(S51,RegList!$B:$N,9,FALSE)="","",VLOOKUP(S51,RegList!$B:$N,9,FALSE)))</f>
      </c>
      <c r="U51" s="359"/>
      <c r="V51" s="337"/>
      <c r="W51" s="349"/>
      <c r="X51" s="342"/>
    </row>
    <row r="52" spans="1:23" ht="18" customHeight="1" thickBot="1">
      <c r="A52" s="337"/>
      <c r="B52" s="337"/>
      <c r="C52" s="357"/>
      <c r="D52" s="360"/>
      <c r="E52" s="350">
        <f>IF(E51="","",VLOOKUP(E51,HjHoved!R:S,2,FALSE))</f>
      </c>
      <c r="F52" s="337"/>
      <c r="G52" s="357"/>
      <c r="H52" s="343"/>
      <c r="I52" s="337"/>
      <c r="J52" s="337"/>
      <c r="L52" s="353">
        <f>IF(L51="","",VLOOKUP(L51,HjHoved!R:S,2,FALSE))</f>
      </c>
      <c r="M52" s="342">
        <f>IF(L51="","",IF(VLOOKUP(L51,RegList!$B:$N,12,FALSE)="","",VLOOKUP(L51,RegList!$B:$N,12,FALSE)))</f>
      </c>
      <c r="N52" s="337"/>
      <c r="O52" s="363"/>
      <c r="P52" s="337"/>
      <c r="Q52" s="359"/>
      <c r="R52" s="337"/>
      <c r="S52" s="350">
        <f>IF(S51="","",VLOOKUP(S51,HjHoved!R:S,2,FALSE))</f>
      </c>
      <c r="T52" s="337"/>
      <c r="U52" s="359"/>
      <c r="V52" s="337"/>
      <c r="W52" s="337"/>
    </row>
    <row r="53" spans="1:24" ht="18" customHeight="1" thickBot="1">
      <c r="A53" s="341"/>
      <c r="B53" s="342"/>
      <c r="C53" s="357"/>
      <c r="D53" s="337"/>
      <c r="E53" s="352">
        <f>IF(ISERROR(VLOOKUP("E53",HjHoved!P:R,2,FALSE)),IF(D56=D59,"",IF(ISERROR(ABS(D56)),C58,IF(ISERROR(ABS(D59)),C56,IF(ABS(D56)&gt;ABS(D59),C56,IF(ABS(D56)&lt;ABS(D59),C58))))),VLOOKUP("E53",HjHoved!P:R,3,FALSE))</f>
      </c>
      <c r="G53" s="357"/>
      <c r="H53" s="343"/>
      <c r="I53" s="337"/>
      <c r="J53" s="337"/>
      <c r="L53" s="363"/>
      <c r="M53" s="363"/>
      <c r="N53" s="363"/>
      <c r="O53" s="363"/>
      <c r="P53" s="337"/>
      <c r="Q53" s="359"/>
      <c r="S53" s="352">
        <f>IF(ISERROR(VLOOKUP("S53",HjHoved!P:R,2,FALSE)),IF(V56=V59,"",IF(ISERROR(ABS(V56)),U58,IF(ISERROR(ABS(V59)),U56,IF(ABS(V56)&gt;ABS(V59),U56,IF(ABS(V56)&lt;ABS(V59),U58))))),VLOOKUP("S53",HjHoved!P:R,3,FALSE))</f>
      </c>
      <c r="U53" s="359"/>
      <c r="W53" s="341"/>
      <c r="X53" s="342"/>
    </row>
    <row r="54" spans="1:23" ht="18" customHeight="1" thickBot="1">
      <c r="A54" s="344"/>
      <c r="B54" s="337"/>
      <c r="C54" s="357"/>
      <c r="D54" s="337"/>
      <c r="E54" s="353">
        <f>IF(E53="","",VLOOKUP(E53,HjHoved!R:S,2,FALSE))</f>
      </c>
      <c r="F54" s="342">
        <f>IF(E53="","",IF(VLOOKUP(E53,RegList!$B:$N,9,FALSE)="","",VLOOKUP(E53,RegList!$B:$N,9,FALSE)))</f>
      </c>
      <c r="G54" s="357"/>
      <c r="H54" s="343"/>
      <c r="I54" s="337"/>
      <c r="J54" s="337"/>
      <c r="L54" s="363"/>
      <c r="M54" s="363"/>
      <c r="N54" s="363"/>
      <c r="Q54" s="359"/>
      <c r="R54" s="337"/>
      <c r="S54" s="353">
        <f>IF(S53="","",VLOOKUP(S53,HjHoved!R:S,2,FALSE))</f>
      </c>
      <c r="T54" s="342">
        <f>IF(S53="","",IF(VLOOKUP(S53,RegList!$B:$N,9,FALSE)="","",VLOOKUP(S53,RegList!$B:$N,9,FALSE)))</f>
      </c>
      <c r="U54" s="359"/>
      <c r="V54" s="337"/>
      <c r="W54" s="344"/>
    </row>
    <row r="55" spans="1:23" ht="18" customHeight="1" thickBot="1">
      <c r="A55" s="346"/>
      <c r="C55" s="361">
        <f>IF(ISERROR(VLOOKUP("C56",TabMatteA,2,FALSE)),"",IF(VLOOKUP("C56",TabMatteA,2,FALSE)=0,"","Fight No: "&amp;VLOOKUP("C56",TabMatteA,2,FALSE)))</f>
      </c>
      <c r="D55" s="337"/>
      <c r="E55" s="355"/>
      <c r="F55" s="337"/>
      <c r="G55" s="357"/>
      <c r="H55" s="343"/>
      <c r="I55" s="337"/>
      <c r="J55" s="337"/>
      <c r="M55" s="363"/>
      <c r="N55" s="363"/>
      <c r="Q55" s="359"/>
      <c r="R55" s="337"/>
      <c r="S55" s="359"/>
      <c r="T55" s="337"/>
      <c r="U55" s="362">
        <f>IF(ISERROR(VLOOKUP("U56",TabMatteA,2,FALSE)),"",IF(VLOOKUP("U56",TabMatteA,2,FALSE)=0,"","Fight No: "&amp;VLOOKUP("U56",TabMatteA,2,FALSE)))</f>
      </c>
      <c r="W55" s="346"/>
    </row>
    <row r="56" spans="1:24" ht="18" customHeight="1" thickBot="1">
      <c r="A56" s="349"/>
      <c r="B56" s="342"/>
      <c r="C56" s="347">
        <f>IF(ISERROR(VLOOKUP("C56",HjHoved!P:R,2,FALSE)),"",VLOOKUP("C56",HjHoved!P:R,3,FALSE))</f>
      </c>
      <c r="D56" s="342">
        <f>IF(C56="","",IF(VLOOKUP(C56,RegList!B:N,8,FALSE)="","",VLOOKUP(C56,RegList!B:N,8,FALSE)))</f>
      </c>
      <c r="E56" s="357"/>
      <c r="F56" s="337"/>
      <c r="G56" s="357"/>
      <c r="H56" s="343"/>
      <c r="I56" s="337"/>
      <c r="J56" s="337"/>
      <c r="M56" s="363"/>
      <c r="N56" s="363"/>
      <c r="Q56" s="359"/>
      <c r="R56" s="337"/>
      <c r="S56" s="359"/>
      <c r="U56" s="347">
        <f>IF(ISERROR(VLOOKUP("U56",HjHoved!P:R,2,FALSE)),"",VLOOKUP("U56",HjHoved!P:R,3,FALSE))</f>
      </c>
      <c r="V56" s="342">
        <f>IF(U56="","",IF(VLOOKUP(U56,RegList!B:N,8,FALSE)="","",VLOOKUP(U56,RegList!B:N,8,FALSE)))</f>
      </c>
      <c r="W56" s="349"/>
      <c r="X56" s="342"/>
    </row>
    <row r="57" spans="1:23" ht="18" customHeight="1" thickBot="1">
      <c r="A57" s="337"/>
      <c r="B57" s="360"/>
      <c r="C57" s="350">
        <f>IF(C56="","",VLOOKUP(C56,HjHoved!R:S,2,FALSE))</f>
      </c>
      <c r="D57" s="337"/>
      <c r="E57" s="357"/>
      <c r="F57" s="337"/>
      <c r="G57" s="357"/>
      <c r="H57" s="343"/>
      <c r="I57" s="337"/>
      <c r="J57" s="337"/>
      <c r="M57" s="363"/>
      <c r="N57" s="363"/>
      <c r="Q57" s="359"/>
      <c r="R57" s="337"/>
      <c r="S57" s="359"/>
      <c r="T57" s="337"/>
      <c r="U57" s="350">
        <f>IF(U56="","",VLOOKUP(U56,HjHoved!R:S,2,FALSE))</f>
      </c>
      <c r="V57" s="337"/>
      <c r="W57" s="337"/>
    </row>
    <row r="58" spans="1:24" ht="18" customHeight="1" thickBot="1">
      <c r="A58" s="341"/>
      <c r="B58" s="342"/>
      <c r="C58" s="352">
        <f>IF(ISERROR(VLOOKUP("C58",HjHoved!P:R,2,FALSE)),"",VLOOKUP("C58",HjHoved!P:R,3,FALSE))</f>
      </c>
      <c r="E58" s="357"/>
      <c r="F58" s="337"/>
      <c r="G58" s="357"/>
      <c r="H58" s="343"/>
      <c r="I58" s="337"/>
      <c r="J58" s="337"/>
      <c r="K58" s="337"/>
      <c r="M58" s="363"/>
      <c r="N58" s="363"/>
      <c r="O58" s="337"/>
      <c r="P58" s="337"/>
      <c r="Q58" s="359"/>
      <c r="R58" s="337"/>
      <c r="S58" s="359"/>
      <c r="U58" s="352">
        <f>IF(ISERROR(VLOOKUP("U58",HjHoved!P:R,2,FALSE)),"",VLOOKUP("U58",HjHoved!P:R,3,FALSE))</f>
      </c>
      <c r="W58" s="341"/>
      <c r="X58" s="342"/>
    </row>
    <row r="59" spans="1:23" ht="18" customHeight="1" thickBot="1">
      <c r="A59" s="344"/>
      <c r="B59" s="337"/>
      <c r="C59" s="353">
        <f>IF(C58="","",VLOOKUP(C58,HjHoved!R:S,2,FALSE))</f>
      </c>
      <c r="D59" s="342">
        <f>IF(C58="","",IF(VLOOKUP(C58,RegList!B:N,8,FALSE)="","",VLOOKUP(C58,RegList!B:N,8,FALSE)))</f>
      </c>
      <c r="E59" s="357"/>
      <c r="F59" s="337"/>
      <c r="G59" s="361">
        <f>IF(ISERROR(VLOOKUP("G62",TabMatteA,2,FALSE)),"",IF(VLOOKUP("G62",TabMatteA,2,FALSE)=0,"","Fight No: "&amp;VLOOKUP("G62",TabMatteA,2,FALSE)))</f>
      </c>
      <c r="H59" s="343"/>
      <c r="I59" s="337"/>
      <c r="J59" s="337"/>
      <c r="K59" s="337"/>
      <c r="M59" s="363"/>
      <c r="N59" s="363"/>
      <c r="O59" s="337"/>
      <c r="P59" s="337"/>
      <c r="Q59" s="362">
        <f>IF(ISERROR(VLOOKUP("Q62",TabMatteA,2,FALSE)),"",IF(VLOOKUP("Q62",TabMatteA,2,FALSE)=0,"","Fight No: "&amp;VLOOKUP("Q62",TabMatteA,2,FALSE)))</f>
      </c>
      <c r="R59" s="337"/>
      <c r="S59" s="359"/>
      <c r="T59" s="337"/>
      <c r="U59" s="353">
        <f>IF(U58="","",VLOOKUP(U58,HjHoved!R:S,2,FALSE))</f>
      </c>
      <c r="V59" s="342">
        <f>IF(U58="","",IF(VLOOKUP(U58,RegList!B:N,8,FALSE)="","",VLOOKUP(U58,RegList!B:N,8,FALSE)))</f>
      </c>
      <c r="W59" s="344"/>
    </row>
    <row r="60" spans="1:23" ht="18" customHeight="1" thickBot="1">
      <c r="A60" s="346"/>
      <c r="C60" s="337"/>
      <c r="D60" s="337"/>
      <c r="E60" s="357"/>
      <c r="F60" s="337"/>
      <c r="G60" s="347">
        <f>IF(ISERROR(VLOOKUP("G60",HjHoved!P:R,2,FALSE)),IF(F51=F54,"",IF(ISERROR(ABS(F51)),E53,IF(ISERROR(ABS(F54)),E51,IF(ABS(F51)&gt;ABS(F54),E51,IF(ABS(F51)&lt;ABS(F54),E53))))),VLOOKUP("G60",HjHoved!P:R,3,FALSE))</f>
      </c>
      <c r="H60" s="342">
        <f>IF(G60="","",IF(VLOOKUP(G60,RegList!$B:$N,10,FALSE)="","",VLOOKUP(G60,RegList!$B:$N,10,FALSE)))</f>
      </c>
      <c r="I60" s="337"/>
      <c r="J60" s="337"/>
      <c r="K60" s="337"/>
      <c r="M60" s="363"/>
      <c r="N60" s="363"/>
      <c r="O60" s="337"/>
      <c r="Q60" s="347">
        <f>IF(ISERROR(VLOOKUP("Q60",HjHoved!P:R,2,FALSE)),IF(T51=T54,"",IF(ISERROR(ABS(T51)),S53,IF(ISERROR(ABS(T54)),S51,IF(ABS(T51)&gt;ABS(T54),S51,IF(ABS(T51)&lt;ABS(T54),S53))))),VLOOKUP("Q60",HjHoved!P:R,3,FALSE))</f>
      </c>
      <c r="R60" s="342">
        <f>IF(Q60="","",IF(VLOOKUP(Q60,RegList!$B:$N,10,FALSE)="","",VLOOKUP(Q60,RegList!$B:$N,10,FALSE)))</f>
      </c>
      <c r="S60" s="359"/>
      <c r="T60" s="337"/>
      <c r="U60" s="337"/>
      <c r="W60" s="346"/>
    </row>
    <row r="61" spans="1:24" ht="18" customHeight="1" thickBot="1">
      <c r="A61" s="349"/>
      <c r="B61" s="342"/>
      <c r="C61" s="337"/>
      <c r="D61" s="337"/>
      <c r="E61" s="357"/>
      <c r="F61" s="360"/>
      <c r="G61" s="350">
        <f>IF(G60="","",VLOOKUP(G60,HjHoved!R:S,2,FALSE))</f>
      </c>
      <c r="H61" s="337"/>
      <c r="I61" s="337"/>
      <c r="J61" s="337"/>
      <c r="K61" s="337"/>
      <c r="M61" s="363"/>
      <c r="N61" s="363"/>
      <c r="O61" s="337"/>
      <c r="P61" s="337"/>
      <c r="Q61" s="350">
        <f>IF(Q60="","",VLOOKUP(Q60,HjHoved!R:S,2,FALSE))</f>
      </c>
      <c r="R61" s="337"/>
      <c r="S61" s="359"/>
      <c r="T61" s="337"/>
      <c r="U61" s="337"/>
      <c r="V61" s="337"/>
      <c r="W61" s="349"/>
      <c r="X61" s="342"/>
    </row>
    <row r="62" spans="1:23" ht="18" customHeight="1" thickBot="1">
      <c r="A62" s="337"/>
      <c r="B62" s="337"/>
      <c r="C62" s="363"/>
      <c r="D62" s="337"/>
      <c r="E62" s="357"/>
      <c r="F62" s="337"/>
      <c r="G62" s="352">
        <f>IF(ISERROR(VLOOKUP("G62",HjHoved!P:R,2,FALSE)),IF(F71=F74,"",IF(ISERROR(ABS(F71)),E73,IF(ISERROR(ABS(F74)),E71,IF(ABS(F71)&gt;ABS(F74),E71,IF(ABS(F71)&lt;ABS(F74),E73))))),VLOOKUP("G62",HjHoved!P:R,3,FALSE))</f>
      </c>
      <c r="H62" s="335"/>
      <c r="I62" s="337"/>
      <c r="J62" s="337"/>
      <c r="K62" s="337"/>
      <c r="M62" s="337"/>
      <c r="N62" s="337"/>
      <c r="O62" s="337"/>
      <c r="Q62" s="352">
        <f>IF(ISERROR(VLOOKUP("Q62",HjHoved!P:R,2,FALSE)),IF(T71=T74,"",IF(ISERROR(ABS(T71)),S73,IF(ISERROR(ABS(T74)),S71,IF(ABS(T71)&gt;ABS(T74),S71,IF(ABS(T71)&lt;ABS(T74),S73))))),VLOOKUP("Q62",HjHoved!P:R,3,FALSE))</f>
      </c>
      <c r="S62" s="359"/>
      <c r="T62" s="337"/>
      <c r="U62" s="363"/>
      <c r="V62" s="337"/>
      <c r="W62" s="337"/>
    </row>
    <row r="63" spans="1:24" ht="18" customHeight="1" thickBot="1">
      <c r="A63" s="341"/>
      <c r="B63" s="342"/>
      <c r="C63" s="337"/>
      <c r="D63" s="337"/>
      <c r="E63" s="357"/>
      <c r="F63" s="337"/>
      <c r="G63" s="353">
        <f>IF(G62="","",VLOOKUP(G62,HjHoved!R:S,2,FALSE))</f>
      </c>
      <c r="H63" s="342">
        <f>IF(G62="","",IF(VLOOKUP(G62,RegList!$B:$N,10,FALSE)="","",VLOOKUP(G62,RegList!$B:$N,10,FALSE)))</f>
      </c>
      <c r="I63" s="337"/>
      <c r="J63" s="337"/>
      <c r="K63" s="337"/>
      <c r="M63" s="337"/>
      <c r="N63" s="337"/>
      <c r="O63" s="337"/>
      <c r="P63" s="337"/>
      <c r="Q63" s="353">
        <f>IF(Q62="","",VLOOKUP(Q62,HjHoved!R:S,2,FALSE))</f>
      </c>
      <c r="R63" s="342">
        <f>IF(Q62="","",IF(VLOOKUP(Q62,RegList!$B:$N,10,FALSE)="","",VLOOKUP(Q62,RegList!$B:$N,10,FALSE)))</f>
      </c>
      <c r="S63" s="359"/>
      <c r="T63" s="337"/>
      <c r="U63" s="337"/>
      <c r="W63" s="341"/>
      <c r="X63" s="342"/>
    </row>
    <row r="64" spans="1:23" ht="18" customHeight="1" thickBot="1">
      <c r="A64" s="344"/>
      <c r="B64" s="337"/>
      <c r="C64" s="345">
        <f>IF(ISERROR(VLOOKUP("C65",TabMatteA,2,FALSE)),"",IF(VLOOKUP("C65",TabMatteA,2,FALSE)=0,"","Fight No: "&amp;VLOOKUP("C65",TabMatteA,2,FALSE)))</f>
      </c>
      <c r="D64" s="337"/>
      <c r="E64" s="357"/>
      <c r="F64" s="337"/>
      <c r="G64" s="337"/>
      <c r="H64" s="343"/>
      <c r="I64" s="337"/>
      <c r="J64" s="337"/>
      <c r="K64" s="337"/>
      <c r="M64" s="337"/>
      <c r="N64" s="337"/>
      <c r="O64" s="337"/>
      <c r="P64" s="337"/>
      <c r="Q64" s="337"/>
      <c r="R64" s="337"/>
      <c r="S64" s="359"/>
      <c r="T64" s="337"/>
      <c r="U64" s="358">
        <f>IF(ISERROR(VLOOKUP("U65",TabMatteA,2,FALSE)),"",IF(VLOOKUP("U65",TabMatteA,2,FALSE)=0,"","Fight No: "&amp;VLOOKUP("U65",TabMatteA,2,FALSE)))</f>
      </c>
      <c r="V64" s="337"/>
      <c r="W64" s="344"/>
    </row>
    <row r="65" spans="1:23" ht="18" customHeight="1" thickBot="1">
      <c r="A65" s="346"/>
      <c r="C65" s="347">
        <f>IF(ISERROR(VLOOKUP("C65",HjHoved!P:R,2,FALSE)),"",VLOOKUP("C65",HjHoved!P:R,3,FALSE))</f>
      </c>
      <c r="D65" s="342">
        <f>IF(C65="","",IF(VLOOKUP(C65,RegList!B:N,8,FALSE)="","",VLOOKUP(C65,RegList!B:N,8,FALSE)))</f>
      </c>
      <c r="E65" s="357"/>
      <c r="F65" s="337"/>
      <c r="G65" s="337"/>
      <c r="H65" s="343"/>
      <c r="I65" s="337"/>
      <c r="J65" s="337"/>
      <c r="K65" s="337"/>
      <c r="M65" s="337"/>
      <c r="N65" s="337"/>
      <c r="O65" s="337"/>
      <c r="P65" s="337"/>
      <c r="Q65" s="337"/>
      <c r="R65" s="337"/>
      <c r="S65" s="359"/>
      <c r="U65" s="347">
        <f>IF(ISERROR(VLOOKUP("U65",HjHoved!P:R,2,FALSE)),"",VLOOKUP("U65",HjHoved!P:R,3,FALSE))</f>
      </c>
      <c r="V65" s="342">
        <f>IF(U65="","",IF(VLOOKUP(U65,RegList!B:N,8,FALSE)="","",VLOOKUP(U65,RegList!B:N,8,FALSE)))</f>
      </c>
      <c r="W65" s="346"/>
    </row>
    <row r="66" spans="1:24" ht="18" customHeight="1" thickBot="1">
      <c r="A66" s="349"/>
      <c r="B66" s="342"/>
      <c r="C66" s="350">
        <f>IF(C65="","",VLOOKUP(C65,HjHoved!R:S,2,FALSE))</f>
      </c>
      <c r="D66" s="337"/>
      <c r="E66" s="357"/>
      <c r="F66" s="337"/>
      <c r="G66" s="337"/>
      <c r="H66" s="343"/>
      <c r="I66" s="337"/>
      <c r="J66" s="337"/>
      <c r="K66" s="337"/>
      <c r="M66" s="337"/>
      <c r="N66" s="337"/>
      <c r="O66" s="337"/>
      <c r="P66" s="337"/>
      <c r="Q66" s="337"/>
      <c r="R66" s="337"/>
      <c r="S66" s="359"/>
      <c r="T66" s="337"/>
      <c r="U66" s="350">
        <f>IF(U65="","",VLOOKUP(U65,HjHoved!R:S,2,FALSE))</f>
      </c>
      <c r="V66" s="337"/>
      <c r="W66" s="349"/>
      <c r="X66" s="342"/>
    </row>
    <row r="67" spans="1:23" ht="18" customHeight="1" thickBot="1">
      <c r="A67" s="337"/>
      <c r="B67" s="360"/>
      <c r="C67" s="352">
        <f>IF(ISERROR(VLOOKUP("C67",HjHoved!P:R,2,FALSE)),"",VLOOKUP("C67",HjHoved!P:R,3,FALSE))</f>
      </c>
      <c r="E67" s="357"/>
      <c r="F67" s="337"/>
      <c r="G67" s="337"/>
      <c r="H67" s="343"/>
      <c r="I67" s="337"/>
      <c r="J67" s="337"/>
      <c r="K67" s="337"/>
      <c r="M67" s="337"/>
      <c r="N67" s="337"/>
      <c r="O67" s="337"/>
      <c r="P67" s="337"/>
      <c r="Q67" s="337"/>
      <c r="R67" s="337"/>
      <c r="S67" s="359"/>
      <c r="U67" s="352">
        <f>IF(ISERROR(VLOOKUP("U67",HjHoved!P:R,2,FALSE)),"",VLOOKUP("U67",HjHoved!P:R,3,FALSE))</f>
      </c>
      <c r="W67" s="337"/>
    </row>
    <row r="68" spans="1:24" ht="18" customHeight="1" thickBot="1">
      <c r="A68" s="341"/>
      <c r="B68" s="342"/>
      <c r="C68" s="353">
        <f>IF(C67="","",VLOOKUP(C67,HjHoved!R:S,2,FALSE))</f>
      </c>
      <c r="D68" s="342">
        <f>IF(C67="","",IF(VLOOKUP(C67,RegList!B:N,8,FALSE)="","",VLOOKUP(C67,RegList!B:N,8,FALSE)))</f>
      </c>
      <c r="E68" s="357"/>
      <c r="F68" s="337"/>
      <c r="G68" s="337"/>
      <c r="H68" s="343"/>
      <c r="I68" s="337"/>
      <c r="J68" s="337"/>
      <c r="K68" s="337"/>
      <c r="M68" s="337"/>
      <c r="N68" s="337"/>
      <c r="O68" s="337"/>
      <c r="P68" s="337"/>
      <c r="Q68" s="337"/>
      <c r="R68" s="337"/>
      <c r="S68" s="359"/>
      <c r="T68" s="337"/>
      <c r="U68" s="353">
        <f>IF(U67="","",VLOOKUP(U67,HjHoved!R:S,2,FALSE))</f>
      </c>
      <c r="V68" s="342">
        <f>IF(U67="","",IF(VLOOKUP(U67,RegList!B:N,8,FALSE)="","",VLOOKUP(U67,RegList!B:N,8,FALSE)))</f>
      </c>
      <c r="W68" s="341"/>
      <c r="X68" s="342"/>
    </row>
    <row r="69" spans="1:23" ht="18" customHeight="1" hidden="1" outlineLevel="1">
      <c r="A69" s="344"/>
      <c r="B69" s="337"/>
      <c r="C69" s="355"/>
      <c r="D69" s="337"/>
      <c r="E69" s="357"/>
      <c r="F69" s="337"/>
      <c r="G69" s="337"/>
      <c r="H69" s="343"/>
      <c r="I69" s="337"/>
      <c r="J69" s="337"/>
      <c r="K69" s="337"/>
      <c r="M69" s="337"/>
      <c r="N69" s="337"/>
      <c r="O69" s="337"/>
      <c r="P69" s="337"/>
      <c r="Q69" s="337"/>
      <c r="R69" s="337"/>
      <c r="S69" s="359"/>
      <c r="T69" s="337"/>
      <c r="U69" s="356"/>
      <c r="V69" s="337"/>
      <c r="W69" s="344"/>
    </row>
    <row r="70" spans="1:23" ht="18" customHeight="1" collapsed="1" thickBot="1">
      <c r="A70" s="346"/>
      <c r="C70" s="357"/>
      <c r="D70" s="337"/>
      <c r="E70" s="361">
        <f>IF(ISERROR(VLOOKUP("E73",TabMatteA,2,FALSE)),"",IF(VLOOKUP("E73",TabMatteA,2,FALSE)=0,"","Fight No: "&amp;VLOOKUP("E73",TabMatteA,2,FALSE)))</f>
      </c>
      <c r="F70" s="337"/>
      <c r="G70" s="337"/>
      <c r="H70" s="343"/>
      <c r="I70" s="337"/>
      <c r="J70" s="337"/>
      <c r="K70" s="337"/>
      <c r="M70" s="337"/>
      <c r="N70" s="337"/>
      <c r="O70" s="337"/>
      <c r="P70" s="337"/>
      <c r="Q70" s="337"/>
      <c r="R70" s="337"/>
      <c r="S70" s="362">
        <f>IF(ISERROR(VLOOKUP("S73",TabMatteA,2,FALSE)),"",IF(VLOOKUP("S73",TabMatteA,2,FALSE)=0,"","Fight No: "&amp;VLOOKUP("S73",TabMatteA,2,FALSE)))</f>
      </c>
      <c r="T70" s="337"/>
      <c r="U70" s="359"/>
      <c r="W70" s="346"/>
    </row>
    <row r="71" spans="1:24" ht="18" customHeight="1" thickBot="1">
      <c r="A71" s="349"/>
      <c r="B71" s="342"/>
      <c r="C71" s="357"/>
      <c r="D71" s="337"/>
      <c r="E71" s="347">
        <f>IF(ISERROR(VLOOKUP("E71",HjHoved!P:R,2,FALSE)),IF(D65=D68,"",IF(ISERROR(ABS(D65)),C67,IF(ISERROR(ABS(D68)),C65,IF(ABS(D65)&gt;ABS(D68),C65,IF(ABS(D65)&lt;ABS(D68),C67))))),VLOOKUP("E71",HjHoved!P:R,3,FALSE))</f>
      </c>
      <c r="F71" s="342">
        <f>IF(E71="","",IF(VLOOKUP(E71,RegList!$B:$N,9,FALSE)="","",VLOOKUP(E71,RegList!$B:$N,9,FALSE)))</f>
      </c>
      <c r="G71" s="337"/>
      <c r="H71" s="343"/>
      <c r="I71" s="337"/>
      <c r="J71" s="337"/>
      <c r="K71" s="337"/>
      <c r="L71" s="337"/>
      <c r="M71" s="337"/>
      <c r="N71" s="337"/>
      <c r="O71" s="337"/>
      <c r="P71" s="337"/>
      <c r="Q71" s="337"/>
      <c r="S71" s="347">
        <f>IF(ISERROR(VLOOKUP("S71",HjHoved!P:R,2,FALSE)),IF(V65=V68,"",IF(ISERROR(ABS(V65)),U67,IF(ISERROR(ABS(V68)),U65,IF(ABS(V65)&gt;ABS(V68),U65,IF(ABS(V65)&lt;ABS(V68),U67))))),VLOOKUP("S71",HjHoved!P:R,3,FALSE))</f>
      </c>
      <c r="T71" s="342">
        <f>IF(S71="","",IF(VLOOKUP(S71,RegList!$B:$N,9,FALSE)="","",VLOOKUP(S71,RegList!$B:$N,9,FALSE)))</f>
      </c>
      <c r="U71" s="359"/>
      <c r="V71" s="337"/>
      <c r="W71" s="349"/>
      <c r="X71" s="342"/>
    </row>
    <row r="72" spans="1:23" ht="18" customHeight="1" thickBot="1">
      <c r="A72" s="337"/>
      <c r="B72" s="337"/>
      <c r="C72" s="357"/>
      <c r="D72" s="360"/>
      <c r="E72" s="350">
        <f>IF(E71="","",VLOOKUP(E71,HjHoved!R:S,2,FALSE))</f>
      </c>
      <c r="F72" s="337"/>
      <c r="G72" s="337"/>
      <c r="H72" s="343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50">
        <f>IF(S71="","",VLOOKUP(S71,HjHoved!R:S,2,FALSE))</f>
      </c>
      <c r="T72" s="337"/>
      <c r="U72" s="359"/>
      <c r="V72" s="337"/>
      <c r="W72" s="337"/>
    </row>
    <row r="73" spans="1:24" ht="18" customHeight="1" thickBot="1">
      <c r="A73" s="341"/>
      <c r="B73" s="342"/>
      <c r="C73" s="357"/>
      <c r="D73" s="337"/>
      <c r="E73" s="352">
        <f>IF(ISERROR(VLOOKUP("E73",HjHoved!P:R,2,FALSE)),IF(D76=D79,"",IF(ISERROR(ABS(D76)),C78,IF(ISERROR(ABS(D79)),C76,IF(ABS(D76)&gt;ABS(D79),C76,IF(ABS(D76)&lt;ABS(D79),C78))))),VLOOKUP("E73",HjHoved!P:R,3,FALSE))</f>
      </c>
      <c r="G73" s="337"/>
      <c r="H73" s="343"/>
      <c r="I73" s="337"/>
      <c r="J73" s="337"/>
      <c r="K73" s="337"/>
      <c r="L73" s="337"/>
      <c r="M73" s="337"/>
      <c r="N73" s="337"/>
      <c r="O73" s="337"/>
      <c r="P73" s="337"/>
      <c r="Q73" s="337"/>
      <c r="S73" s="352">
        <f>IF(ISERROR(VLOOKUP("S73",HjHoved!P:R,2,FALSE)),IF(V76=V79,"",IF(ISERROR(ABS(V76)),U78,IF(ISERROR(ABS(V79)),U76,IF(ABS(V76)&gt;ABS(V79),U76,IF(ABS(V76)&lt;ABS(V79),U78))))),VLOOKUP("S73",HjHoved!P:R,3,FALSE))</f>
      </c>
      <c r="U73" s="359"/>
      <c r="W73" s="341"/>
      <c r="X73" s="342"/>
    </row>
    <row r="74" spans="1:23" ht="18" customHeight="1" thickBot="1">
      <c r="A74" s="344"/>
      <c r="B74" s="337"/>
      <c r="C74" s="357"/>
      <c r="D74" s="337"/>
      <c r="E74" s="353">
        <f>IF(E73="","",VLOOKUP(E73,HjHoved!R:S,2,FALSE))</f>
      </c>
      <c r="F74" s="342">
        <f>IF(E73="","",IF(VLOOKUP(E73,RegList!$B:$N,9,FALSE)="","",VLOOKUP(E73,RegList!$B:$N,9,FALSE)))</f>
      </c>
      <c r="G74" s="337"/>
      <c r="H74" s="343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53">
        <f>IF(S73="","",VLOOKUP(S73,HjHoved!R:S,2,FALSE))</f>
      </c>
      <c r="T74" s="342">
        <f>IF(S73="","",IF(VLOOKUP(S73,RegList!$B:$N,9,FALSE)="","",VLOOKUP(S73,RegList!$B:$N,9,FALSE)))</f>
      </c>
      <c r="U74" s="359"/>
      <c r="V74" s="337"/>
      <c r="W74" s="344"/>
    </row>
    <row r="75" spans="1:23" ht="18" customHeight="1" thickBot="1">
      <c r="A75" s="346"/>
      <c r="C75" s="361">
        <f>IF(ISERROR(VLOOKUP("C76",TabMatteA,2,FALSE)),"",IF(VLOOKUP("C76",TabMatteA,2,FALSE)=0,"","Fight No: "&amp;VLOOKUP("C76",TabMatteA,2,FALSE)))</f>
      </c>
      <c r="D75" s="337"/>
      <c r="E75" s="337"/>
      <c r="F75" s="337"/>
      <c r="G75" s="337"/>
      <c r="H75" s="343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62">
        <f>IF(ISERROR(VLOOKUP("U76",TabMatteA,2,FALSE)),"",IF(VLOOKUP("U76",TabMatteA,2,FALSE)=0,"","Fight No: "&amp;VLOOKUP("U76",TabMatteA,2,FALSE)))</f>
      </c>
      <c r="W75" s="346"/>
    </row>
    <row r="76" spans="1:24" ht="18" customHeight="1" thickBot="1">
      <c r="A76" s="349"/>
      <c r="B76" s="342"/>
      <c r="C76" s="347">
        <f>IF(ISERROR(VLOOKUP("C76",HjHoved!P:R,2,FALSE)),"",VLOOKUP("C76",HjHoved!P:R,3,FALSE))</f>
      </c>
      <c r="D76" s="342">
        <f>IF(C76="","",IF(VLOOKUP(C76,RegList!B:N,8,FALSE)="","",VLOOKUP(C76,RegList!B:N,8,FALSE)))</f>
      </c>
      <c r="E76" s="337"/>
      <c r="F76" s="337"/>
      <c r="G76" s="337"/>
      <c r="H76" s="343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U76" s="347">
        <f>IF(ISERROR(VLOOKUP("U76",HjHoved!P:R,2,FALSE)),"",VLOOKUP("U76",HjHoved!P:R,3,FALSE))</f>
      </c>
      <c r="V76" s="342">
        <f>IF(U76="","",IF(VLOOKUP(U76,RegList!B:N,8,FALSE)="","",VLOOKUP(U76,RegList!B:N,8,FALSE)))</f>
      </c>
      <c r="W76" s="349"/>
      <c r="X76" s="342"/>
    </row>
    <row r="77" spans="1:23" ht="18" customHeight="1" thickBot="1">
      <c r="A77" s="337"/>
      <c r="B77" s="360"/>
      <c r="C77" s="350">
        <f>IF(C76="","",VLOOKUP(C76,HjHoved!R:S,2,FALSE))</f>
      </c>
      <c r="D77" s="337"/>
      <c r="E77" s="337"/>
      <c r="F77" s="337"/>
      <c r="G77" s="337"/>
      <c r="H77" s="343"/>
      <c r="I77" s="337"/>
      <c r="J77" s="337"/>
      <c r="K77" s="337"/>
      <c r="L77" s="358"/>
      <c r="M77" s="337"/>
      <c r="N77" s="337"/>
      <c r="O77" s="337"/>
      <c r="P77" s="337"/>
      <c r="Q77" s="337"/>
      <c r="R77" s="337"/>
      <c r="S77" s="337"/>
      <c r="T77" s="337"/>
      <c r="U77" s="350">
        <f>IF(U76="","",VLOOKUP(U76,HjHoved!R:S,2,FALSE))</f>
      </c>
      <c r="V77" s="337"/>
      <c r="W77" s="337"/>
    </row>
    <row r="78" spans="1:24" ht="18" customHeight="1" thickBot="1">
      <c r="A78" s="341"/>
      <c r="B78" s="342"/>
      <c r="C78" s="352">
        <f>IF(ISERROR(VLOOKUP("C78",HjHoved!P:R,2,FALSE)),"",VLOOKUP("C78",HjHoved!P:R,3,FALSE))</f>
      </c>
      <c r="E78" s="337"/>
      <c r="F78" s="337"/>
      <c r="G78" s="337"/>
      <c r="H78" s="343"/>
      <c r="I78" s="337"/>
      <c r="J78" s="337"/>
      <c r="K78" s="337"/>
      <c r="O78" s="337"/>
      <c r="P78" s="337"/>
      <c r="Q78" s="337"/>
      <c r="R78" s="337"/>
      <c r="S78" s="337"/>
      <c r="U78" s="352">
        <f>IF(ISERROR(VLOOKUP("U78",HjHoved!P:R,2,FALSE)),"",VLOOKUP("U78",HjHoved!P:R,3,FALSE))</f>
      </c>
      <c r="W78" s="341"/>
      <c r="X78" s="342"/>
    </row>
    <row r="79" spans="1:23" ht="18" customHeight="1" thickBot="1">
      <c r="A79" s="344"/>
      <c r="B79" s="337"/>
      <c r="C79" s="353">
        <f>IF(C78="","",VLOOKUP(C78,HjHoved!R:S,2,FALSE))</f>
      </c>
      <c r="D79" s="342">
        <f>IF(C78="","",IF(VLOOKUP(C78,RegList!B:N,8,FALSE)="","",VLOOKUP(C78,RegList!B:N,8,FALSE)))</f>
      </c>
      <c r="E79" s="337"/>
      <c r="F79" s="337"/>
      <c r="G79" s="371"/>
      <c r="H79" s="343"/>
      <c r="K79" s="337"/>
      <c r="O79" s="337"/>
      <c r="P79" s="337"/>
      <c r="Q79" s="337"/>
      <c r="R79" s="337"/>
      <c r="S79" s="337"/>
      <c r="T79" s="337"/>
      <c r="U79" s="353">
        <f>IF(U78="","",VLOOKUP(U78,HjHoved!R:S,2,FALSE))</f>
      </c>
      <c r="V79" s="342">
        <f>IF(U78="","",IF(VLOOKUP(U78,RegList!B:N,8,FALSE)="","",VLOOKUP(U78,RegList!B:N,8,FALSE)))</f>
      </c>
      <c r="W79" s="344"/>
    </row>
    <row r="80" spans="1:23" ht="18" customHeight="1" thickBot="1">
      <c r="A80" s="346"/>
      <c r="C80" s="337"/>
      <c r="D80" s="337"/>
      <c r="E80" s="337"/>
      <c r="F80" s="337"/>
      <c r="G80" s="337"/>
      <c r="H80" s="343"/>
      <c r="K80" s="337"/>
      <c r="O80" s="337"/>
      <c r="P80" s="337"/>
      <c r="Q80" s="337"/>
      <c r="R80" s="337"/>
      <c r="S80" s="337"/>
      <c r="T80" s="337"/>
      <c r="U80" s="337"/>
      <c r="W80" s="346"/>
    </row>
    <row r="81" spans="1:24" ht="18" customHeight="1" thickBot="1">
      <c r="A81" s="349"/>
      <c r="B81" s="342"/>
      <c r="C81" s="337"/>
      <c r="D81" s="337"/>
      <c r="E81" s="337"/>
      <c r="F81" s="337"/>
      <c r="G81" s="337"/>
      <c r="H81" s="343"/>
      <c r="K81" s="337"/>
      <c r="N81" s="337"/>
      <c r="O81" s="337"/>
      <c r="P81" s="337"/>
      <c r="Q81" s="337"/>
      <c r="R81" s="337"/>
      <c r="S81" s="337"/>
      <c r="T81" s="337"/>
      <c r="U81" s="337"/>
      <c r="V81" s="337"/>
      <c r="W81" s="349"/>
      <c r="X81" s="342"/>
    </row>
    <row r="82" spans="11:15" ht="12.75" customHeight="1">
      <c r="K82" s="337"/>
      <c r="M82" s="337"/>
      <c r="O82" s="337"/>
    </row>
    <row r="83" spans="11:15" ht="12.75" customHeight="1">
      <c r="K83" s="337"/>
      <c r="M83" s="337"/>
      <c r="O83" s="337"/>
    </row>
    <row r="84" spans="11:15" ht="12.75" customHeight="1">
      <c r="K84" s="337"/>
      <c r="L84" s="337"/>
      <c r="M84" s="337"/>
      <c r="N84" s="337"/>
      <c r="O84" s="337"/>
    </row>
    <row r="85" spans="11:15" ht="21.75" customHeight="1">
      <c r="K85" s="337"/>
      <c r="L85" s="337"/>
      <c r="M85" s="337"/>
      <c r="N85" s="337"/>
      <c r="O85" s="337"/>
    </row>
    <row r="86" spans="12:15" ht="12.75" customHeight="1">
      <c r="L86" s="337"/>
      <c r="M86" s="337"/>
      <c r="N86" s="337"/>
      <c r="O86" s="337"/>
    </row>
    <row r="87" spans="12:15" ht="12.75" customHeight="1">
      <c r="L87" s="337"/>
      <c r="M87" s="337"/>
      <c r="N87" s="337"/>
      <c r="O87" s="337"/>
    </row>
    <row r="88" spans="12:15" ht="11.25" customHeight="1">
      <c r="L88" s="337"/>
      <c r="M88" s="337"/>
      <c r="N88" s="337"/>
      <c r="O88" s="337"/>
    </row>
    <row r="89" ht="11.25" customHeight="1">
      <c r="M89" s="337"/>
    </row>
    <row r="90" ht="11.25" customHeight="1">
      <c r="M90" s="337"/>
    </row>
    <row r="91" ht="11.25" customHeight="1">
      <c r="M91" s="337"/>
    </row>
  </sheetData>
  <sheetProtection sheet="1" objects="1" scenarios="1"/>
  <mergeCells count="1">
    <mergeCell ref="M3:O3"/>
  </mergeCells>
  <printOptions/>
  <pageMargins left="0.1968503937007874" right="0.1968503937007874" top="0.4724409448818898" bottom="0.15748031496062992" header="0.15748031496062992" footer="0.11811023622047245"/>
  <pageSetup blackAndWhite="1" fitToHeight="2" fitToWidth="1" orientation="landscape" paperSize="9" scale="40" r:id="rId2"/>
  <headerFooter alignWithMargins="0">
    <oddHeader>&amp;C&amp;"Arial,Halvfet"&amp;22TATAMI A&amp;R&amp;"Arial,Halvfet"&amp;18PYRAMIDE: Professional tournement tool</oddHeader>
    <oddFooter>&amp;C&amp;G&amp;R&amp;"Arial,Halvfet"&amp;18NC, SC - Bergen 2012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S254"/>
  <sheetViews>
    <sheetView zoomScalePageLayoutView="0" workbookViewId="0" topLeftCell="A49">
      <selection activeCell="C4" sqref="C4:C37"/>
    </sheetView>
  </sheetViews>
  <sheetFormatPr defaultColWidth="11.421875" defaultRowHeight="12.75"/>
  <cols>
    <col min="1" max="1" width="4.00390625" style="0" bestFit="1" customWidth="1"/>
    <col min="2" max="2" width="11.421875" style="0" customWidth="1"/>
    <col min="3" max="3" width="7.421875" style="0" customWidth="1"/>
    <col min="4" max="6" width="11.421875" style="0" customWidth="1"/>
    <col min="7" max="7" width="8.8515625" style="0" customWidth="1"/>
    <col min="8" max="8" width="7.8515625" style="0" customWidth="1"/>
    <col min="9" max="9" width="10.28125" style="0" customWidth="1"/>
    <col min="10" max="11" width="11.421875" style="0" customWidth="1"/>
    <col min="12" max="12" width="3.00390625" style="0" bestFit="1" customWidth="1"/>
    <col min="13" max="14" width="11.421875" style="0" customWidth="1"/>
    <col min="15" max="15" width="15.28125" style="0" customWidth="1"/>
    <col min="16" max="16" width="8.140625" style="0" bestFit="1" customWidth="1"/>
  </cols>
  <sheetData>
    <row r="1" spans="1:6" ht="13.5" thickBot="1">
      <c r="A1" s="7">
        <f>COUNTA(RegList!A:A)</f>
        <v>46</v>
      </c>
      <c r="B1" s="420" t="s">
        <v>119</v>
      </c>
      <c r="C1" s="421"/>
      <c r="D1" s="421"/>
      <c r="E1" s="421"/>
      <c r="F1" s="422"/>
    </row>
    <row r="2" spans="1:18" ht="13.5" thickBot="1">
      <c r="A2" s="210" t="s">
        <v>61</v>
      </c>
      <c r="B2" s="209"/>
      <c r="D2" s="211" t="s">
        <v>120</v>
      </c>
      <c r="O2" s="145"/>
      <c r="P2" s="146"/>
      <c r="Q2" s="146" t="s">
        <v>222</v>
      </c>
      <c r="R2" s="13" t="s">
        <v>223</v>
      </c>
    </row>
    <row r="3" spans="1:18" ht="13.5" thickBot="1">
      <c r="A3" s="12"/>
      <c r="B3" s="208" t="s">
        <v>63</v>
      </c>
      <c r="C3" s="2"/>
      <c r="D3" s="13"/>
      <c r="E3" s="215">
        <f>COUNTA(B4:B37)</f>
        <v>10</v>
      </c>
      <c r="G3" t="s">
        <v>152</v>
      </c>
      <c r="H3" t="s">
        <v>66</v>
      </c>
      <c r="I3" t="s">
        <v>153</v>
      </c>
      <c r="O3" s="31"/>
      <c r="P3" s="7" t="s">
        <v>221</v>
      </c>
      <c r="Q3" s="7" t="s">
        <v>225</v>
      </c>
      <c r="R3" s="20" t="s">
        <v>224</v>
      </c>
    </row>
    <row r="4" spans="1:19" ht="12.75">
      <c r="A4" s="202">
        <v>1</v>
      </c>
      <c r="B4" s="405" t="s">
        <v>230</v>
      </c>
      <c r="C4" s="13">
        <v>8</v>
      </c>
      <c r="D4" s="212">
        <f>COUNTIF(RegList!A:A,HjArk!B4)</f>
        <v>8</v>
      </c>
      <c r="E4" s="16">
        <v>1</v>
      </c>
      <c r="F4" s="13" t="str">
        <f>IF(B_4="","",IF(VLOOKUP(B_4,TabOppsett,6,FALSE)="","",VLOOKUP(B_4,TabOppsett,6,FALSE)))</f>
        <v>A</v>
      </c>
      <c r="G4" s="146">
        <f>IF(B4="","",IF(F4="A",ABS(LEFT(VLOOKUP(B4,Tables!$H$3:$K$36,2,FALSE),2)),IF(F4="B",ABS(LEFT(VLOOKUP(B4,Tables!$M$3:$P$36,2,FALSE),2)),IF(F4="C",ABS(LEFT(VLOOKUP(B4,Tables!$R$3:$U$36,2,FALSE),2))))))</f>
        <v>1</v>
      </c>
      <c r="H4" s="146">
        <f>IF(B4="","",IF(F4="A",ABS(LEFT(VLOOKUP(B4,Tables!$H$3:$K$36,3,FALSE),2)),IF(F4="B",ABS(LEFT(VLOOKUP(B4,Tables!$M$3:$P$36,3,FALSE),2)),IF(F4="C",ABS(LEFT(VLOOKUP(B4,Tables!$R$3:$U$36,3,FALSE),2))))))</f>
        <v>5</v>
      </c>
      <c r="I4" s="146">
        <f>IF(B4="","",IF(F4="A",ABS(LEFT(VLOOKUP(B4,Tables!$H$45:$K$78,4,FALSE),2)),IF(F4="B",ABS(LEFT(VLOOKUP(B4,Tables!$M$45:$P$78,4,FALSE),2)),IF(F4="C",ABS(LEFT(VLOOKUP(B4,Tables!$R$45:$U$78,4,FALSE),2))))))</f>
        <v>1</v>
      </c>
      <c r="J4" s="13">
        <f aca="true" t="shared" si="0" ref="J4:J37">IF(B4="","",IF(AND(ISNUMBER(G4),ISNUMBER(H4))=TRUE,G4,IF(AND(ISERROR(G4),ISNUMBER(H4))=TRUE,"Semi",IF(AND(ISNUMBER(I4),ISERROR(H4))=TRUE,"Finale "&amp;I4))))</f>
        <v>1</v>
      </c>
      <c r="M4" t="str">
        <f>Tables!F3</f>
        <v>A</v>
      </c>
      <c r="N4">
        <f>IF(Tables!C3="",0,Tables!C3+Tables!D3)</f>
        <v>6</v>
      </c>
      <c r="O4" s="31" t="s">
        <v>218</v>
      </c>
      <c r="P4" s="7">
        <f>SUMIF(M4:N37,"A",N4:N37)</f>
        <v>12</v>
      </c>
      <c r="Q4" s="396">
        <f>StartTid+(Kamper_Matte_A*TimeScedule!MatchTimeO)</f>
        <v>0.5666666666666667</v>
      </c>
      <c r="R4" s="397">
        <f>IF(S4=0,Q4+TimeScedule!D24,TimeScedule!J30)</f>
        <v>0.5666666666666667</v>
      </c>
      <c r="S4" s="400">
        <f>TimeScedule!D24</f>
        <v>0</v>
      </c>
    </row>
    <row r="5" spans="1:18" ht="12.75">
      <c r="A5" s="202">
        <v>2</v>
      </c>
      <c r="B5" s="204" t="s">
        <v>232</v>
      </c>
      <c r="C5" s="20">
        <v>8</v>
      </c>
      <c r="D5" s="213">
        <f>COUNTIF(RegList!A:A,HjArk!B5)</f>
        <v>8</v>
      </c>
      <c r="E5" s="12">
        <v>2</v>
      </c>
      <c r="F5" s="20" t="str">
        <f aca="true" t="shared" si="1" ref="F5:F37">IF(B5="","",IF(ISERROR(VLOOKUP(B5,TabOppsett,6,FALSE)),"",VLOOKUP(B5,TabOppsett,6,FALSE)))</f>
        <v>B</v>
      </c>
      <c r="G5" s="7">
        <f>IF(B5="","",IF(F5="A",ABS(LEFT(VLOOKUP(B5,Tables!$H$3:$K$36,2,FALSE),2)),IF(F5="B",ABS(LEFT(VLOOKUP(B5,Tables!$M$3:$P$36,2,FALSE),2)),IF(F5="C",ABS(LEFT(VLOOKUP(B5,Tables!$R$3:$U$36,2,FALSE),2))))))</f>
        <v>1</v>
      </c>
      <c r="H5" s="7">
        <f>IF(B5="","",IF(F5="A",ABS(LEFT(VLOOKUP(B5,Tables!$H$3:$K$36,3,FALSE),2)),IF(F5="B",ABS(LEFT(VLOOKUP(B5,Tables!$M$3:$P$36,3,FALSE),2)),IF(F5="C",ABS(LEFT(VLOOKUP(B5,Tables!$R$3:$U$36,3,FALSE),2))))))</f>
        <v>5</v>
      </c>
      <c r="I5" s="7">
        <f>IF(B5="","",IF(F5="A",ABS(LEFT(VLOOKUP(B5,Tables!$H$45:$K$78,4,FALSE),2)),IF(F5="B",ABS(LEFT(VLOOKUP(B5,Tables!$M$45:$P$78,4,FALSE),2)),IF(F5="C",ABS(LEFT(VLOOKUP(B5,Tables!$R$45:$U$78,4,FALSE),2))))))</f>
        <v>1</v>
      </c>
      <c r="J5" s="20">
        <f t="shared" si="0"/>
        <v>1</v>
      </c>
      <c r="M5" t="str">
        <f>Tables!F4</f>
        <v>B</v>
      </c>
      <c r="N5">
        <f>IF(Tables!C4="",0,Tables!C4+Tables!D4)</f>
        <v>6</v>
      </c>
      <c r="O5" s="31" t="s">
        <v>219</v>
      </c>
      <c r="P5" s="7">
        <f>SUMIF(M4:N37,"B",N4:N37)</f>
        <v>13</v>
      </c>
      <c r="Q5" s="396">
        <f>StartTid+(Kamper_Matte_B*TimeScedule!MatchTimeO)</f>
        <v>0.5722222222222222</v>
      </c>
      <c r="R5" s="397">
        <f>IF(S4=0,Q5+TimeScedule!D24,TimeScedule!J30)</f>
        <v>0.5722222222222222</v>
      </c>
    </row>
    <row r="6" spans="1:18" ht="13.5" thickBot="1">
      <c r="A6" s="202">
        <v>3</v>
      </c>
      <c r="B6" s="203" t="s">
        <v>235</v>
      </c>
      <c r="C6" s="20">
        <v>6</v>
      </c>
      <c r="D6" s="213">
        <f>COUNTIF(RegList!A:A,HjArk!B6)</f>
        <v>6</v>
      </c>
      <c r="E6" s="12">
        <v>3</v>
      </c>
      <c r="F6" s="20" t="str">
        <f t="shared" si="1"/>
        <v>A</v>
      </c>
      <c r="G6" s="7">
        <f>IF(B6="","",IF(F6="A",ABS(LEFT(VLOOKUP(B6,Tables!$H$3:$K$36,2,FALSE),2)),IF(F6="B",ABS(LEFT(VLOOKUP(B6,Tables!$M$3:$P$36,2,FALSE),2)),IF(F6="C",ABS(LEFT(VLOOKUP(B6,Tables!$R$3:$U$36,2,FALSE),2))))))</f>
        <v>7</v>
      </c>
      <c r="H6" s="7">
        <f>IF(B6="","",IF(F6="A",ABS(LEFT(VLOOKUP(B6,Tables!$H$3:$K$36,3,FALSE),2)),IF(F6="B",ABS(LEFT(VLOOKUP(B6,Tables!$M$3:$P$36,3,FALSE),2)),IF(F6="C",ABS(LEFT(VLOOKUP(B6,Tables!$R$3:$U$36,3,FALSE),2))))))</f>
        <v>9</v>
      </c>
      <c r="I6" s="7">
        <f>IF(B6="","",IF(F6="A",ABS(LEFT(VLOOKUP(B6,Tables!$H$45:$K$78,4,FALSE),2)),IF(F6="B",ABS(LEFT(VLOOKUP(B6,Tables!$M$45:$P$78,4,FALSE),2)),IF(F6="C",ABS(LEFT(VLOOKUP(B6,Tables!$R$45:$U$78,4,FALSE),2))))))</f>
        <v>2</v>
      </c>
      <c r="J6" s="20">
        <f t="shared" si="0"/>
        <v>7</v>
      </c>
      <c r="M6" t="str">
        <f>Tables!F5</f>
        <v>A</v>
      </c>
      <c r="N6">
        <f>IF(Tables!C5="",0,Tables!C5+Tables!D5)</f>
        <v>4</v>
      </c>
      <c r="O6" s="36" t="s">
        <v>220</v>
      </c>
      <c r="P6" s="38">
        <f>SUMIF(M4:N37,"C",N4:N37)</f>
        <v>0</v>
      </c>
      <c r="Q6" s="398">
        <f>StartTid+(Kamper_Matte_C*TimeScedule!MatchTimeO)</f>
        <v>0.5</v>
      </c>
      <c r="R6" s="399">
        <f>IF(S4=0,Q6+TimeScedule!D24,TimeScedule!J30)</f>
        <v>0.5</v>
      </c>
    </row>
    <row r="7" spans="1:14" ht="12.75">
      <c r="A7" s="202">
        <v>4</v>
      </c>
      <c r="B7" s="204" t="s">
        <v>255</v>
      </c>
      <c r="C7" s="20">
        <v>5</v>
      </c>
      <c r="D7" s="213">
        <f>COUNTIF(RegList!A:A,HjArk!B7)</f>
        <v>5</v>
      </c>
      <c r="E7" s="12">
        <v>4</v>
      </c>
      <c r="F7" s="20" t="str">
        <f t="shared" si="1"/>
        <v>B</v>
      </c>
      <c r="G7" s="7">
        <f>IF(B7="","",IF(F7="A",ABS(LEFT(VLOOKUP(B7,Tables!$H$3:$K$36,2,FALSE),2)),IF(F7="B",ABS(LEFT(VLOOKUP(B7,Tables!$M$3:$P$36,2,FALSE),2)),IF(F7="C",ABS(LEFT(VLOOKUP(B7,Tables!$R$3:$U$36,2,FALSE),2))))))</f>
        <v>7</v>
      </c>
      <c r="H7" s="7">
        <f>IF(B7="","",IF(F7="A",ABS(LEFT(VLOOKUP(B7,Tables!$H$3:$K$36,3,FALSE),2)),IF(F7="B",ABS(LEFT(VLOOKUP(B7,Tables!$M$3:$P$36,3,FALSE),2)),IF(F7="C",ABS(LEFT(VLOOKUP(B7,Tables!$R$3:$U$36,3,FALSE),2))))))</f>
        <v>8</v>
      </c>
      <c r="I7" s="7">
        <f>IF(B7="","",IF(F7="A",ABS(LEFT(VLOOKUP(B7,Tables!$H$45:$K$78,4,FALSE),2)),IF(F7="B",ABS(LEFT(VLOOKUP(B7,Tables!$M$45:$P$78,4,FALSE),2)),IF(F7="C",ABS(LEFT(VLOOKUP(B7,Tables!$R$45:$U$78,4,FALSE),2))))))</f>
        <v>2</v>
      </c>
      <c r="J7" s="20">
        <f t="shared" si="0"/>
        <v>7</v>
      </c>
      <c r="M7" t="str">
        <f>Tables!F6</f>
        <v>B</v>
      </c>
      <c r="N7">
        <f>IF(Tables!C6="",0,Tables!C6+Tables!D6)</f>
        <v>3</v>
      </c>
    </row>
    <row r="8" spans="1:14" ht="12.75">
      <c r="A8" s="202">
        <v>5</v>
      </c>
      <c r="B8" s="204" t="s">
        <v>250</v>
      </c>
      <c r="C8" s="20">
        <v>4</v>
      </c>
      <c r="D8" s="213">
        <f>COUNTIF(RegList!A:A,HjArk!B8)</f>
        <v>4</v>
      </c>
      <c r="E8" s="12">
        <v>5</v>
      </c>
      <c r="F8" s="20" t="str">
        <f t="shared" si="1"/>
        <v>B</v>
      </c>
      <c r="G8" s="7" t="e">
        <f>IF(B8="","",IF(F8="A",ABS(LEFT(VLOOKUP(B8,Tables!$H$3:$K$36,2,FALSE),2)),IF(F8="B",ABS(LEFT(VLOOKUP(B8,Tables!$M$3:$P$36,2,FALSE),2)),IF(F8="C",ABS(LEFT(VLOOKUP(B8,Tables!$R$3:$U$36,2,FALSE),2))))))</f>
        <v>#VALUE!</v>
      </c>
      <c r="H8" s="7">
        <f>IF(B8="","",IF(F8="A",ABS(LEFT(VLOOKUP(B8,Tables!$H$3:$K$36,3,FALSE),2)),IF(F8="B",ABS(LEFT(VLOOKUP(B8,Tables!$M$3:$P$36,3,FALSE),2)),IF(F8="C",ABS(LEFT(VLOOKUP(B8,Tables!$R$3:$U$36,3,FALSE),2))))))</f>
        <v>10</v>
      </c>
      <c r="I8" s="7">
        <f>IF(B8="","",IF(F8="A",ABS(LEFT(VLOOKUP(B8,Tables!$H$45:$K$78,4,FALSE),2)),IF(F8="B",ABS(LEFT(VLOOKUP(B8,Tables!$M$45:$P$78,4,FALSE),2)),IF(F8="C",ABS(LEFT(VLOOKUP(B8,Tables!$R$45:$U$78,4,FALSE),2))))))</f>
        <v>3</v>
      </c>
      <c r="J8" s="20" t="str">
        <f t="shared" si="0"/>
        <v>Semi</v>
      </c>
      <c r="M8" t="str">
        <f>Tables!F7</f>
        <v>B</v>
      </c>
      <c r="N8">
        <f>IF(Tables!C7="",0,Tables!C7+Tables!D7)</f>
        <v>2</v>
      </c>
    </row>
    <row r="9" spans="1:14" ht="12.75">
      <c r="A9" s="202">
        <v>6</v>
      </c>
      <c r="B9" s="204" t="s">
        <v>253</v>
      </c>
      <c r="C9" s="20">
        <v>4</v>
      </c>
      <c r="D9" s="213">
        <f>COUNTIF(RegList!A:A,HjArk!B9)</f>
        <v>4</v>
      </c>
      <c r="E9" s="12">
        <v>6</v>
      </c>
      <c r="F9" s="20" t="str">
        <f t="shared" si="1"/>
        <v>A</v>
      </c>
      <c r="G9" s="7" t="e">
        <f>IF(B9="","",IF(F9="A",ABS(LEFT(VLOOKUP(B9,Tables!$H$3:$K$36,2,FALSE),2)),IF(F9="B",ABS(LEFT(VLOOKUP(B9,Tables!$M$3:$P$36,2,FALSE),2)),IF(F9="C",ABS(LEFT(VLOOKUP(B9,Tables!$R$3:$U$36,2,FALSE),2))))))</f>
        <v>#VALUE!</v>
      </c>
      <c r="H9" s="7">
        <f>IF(B9="","",IF(F9="A",ABS(LEFT(VLOOKUP(B9,Tables!$H$3:$K$36,3,FALSE),2)),IF(F9="B",ABS(LEFT(VLOOKUP(B9,Tables!$M$3:$P$36,3,FALSE),2)),IF(F9="C",ABS(LEFT(VLOOKUP(B9,Tables!$R$3:$U$36,3,FALSE),2))))))</f>
        <v>11</v>
      </c>
      <c r="I9" s="7">
        <f>IF(B9="","",IF(F9="A",ABS(LEFT(VLOOKUP(B9,Tables!$H$45:$K$78,4,FALSE),2)),IF(F9="B",ABS(LEFT(VLOOKUP(B9,Tables!$M$45:$P$78,4,FALSE),2)),IF(F9="C",ABS(LEFT(VLOOKUP(B9,Tables!$R$45:$U$78,4,FALSE),2))))))</f>
        <v>3</v>
      </c>
      <c r="J9" s="20" t="str">
        <f t="shared" si="0"/>
        <v>Semi</v>
      </c>
      <c r="M9" t="str">
        <f>Tables!F8</f>
        <v>A</v>
      </c>
      <c r="N9">
        <f>IF(Tables!C8="",0,Tables!C8+Tables!D8)</f>
        <v>2</v>
      </c>
    </row>
    <row r="10" spans="1:14" ht="12.75">
      <c r="A10" s="202">
        <v>7</v>
      </c>
      <c r="B10" s="203" t="s">
        <v>246</v>
      </c>
      <c r="C10" s="20">
        <v>3</v>
      </c>
      <c r="D10" s="213">
        <f>COUNTIF(RegList!A:A,HjArk!B10)</f>
        <v>3</v>
      </c>
      <c r="E10" s="12">
        <v>7</v>
      </c>
      <c r="F10" s="20" t="str">
        <f t="shared" si="1"/>
        <v>B</v>
      </c>
      <c r="G10" s="7" t="e">
        <f>IF(B10="","",IF(F10="A",ABS(LEFT(VLOOKUP(B10,Tables!$H$3:$K$36,2,FALSE),2)),IF(F10="B",ABS(LEFT(VLOOKUP(B10,Tables!$M$3:$P$36,2,FALSE),2)),IF(F10="C",ABS(LEFT(VLOOKUP(B10,Tables!$R$3:$U$36,2,FALSE),2))))))</f>
        <v>#VALUE!</v>
      </c>
      <c r="H10" s="7">
        <f>IF(B10="","",IF(F10="A",ABS(LEFT(VLOOKUP(B10,Tables!$H$3:$K$36,3,FALSE),2)),IF(F10="B",ABS(LEFT(VLOOKUP(B10,Tables!$M$3:$P$36,3,FALSE),2)),IF(F10="C",ABS(LEFT(VLOOKUP(B10,Tables!$R$3:$U$36,3,FALSE),2))))))</f>
        <v>12</v>
      </c>
      <c r="I10" s="7">
        <f>IF(B10="","",IF(F10="A",ABS(LEFT(VLOOKUP(B10,Tables!$H$45:$K$78,4,FALSE),2)),IF(F10="B",ABS(LEFT(VLOOKUP(B10,Tables!$M$45:$P$78,4,FALSE),2)),IF(F10="C",ABS(LEFT(VLOOKUP(B10,Tables!$R$45:$U$78,4,FALSE),2))))))</f>
        <v>4</v>
      </c>
      <c r="J10" s="20" t="str">
        <f t="shared" si="0"/>
        <v>Semi</v>
      </c>
      <c r="M10" t="str">
        <f>Tables!F9</f>
        <v>B</v>
      </c>
      <c r="N10">
        <f>IF(Tables!C9="",0,Tables!C9+Tables!D9)</f>
        <v>1</v>
      </c>
    </row>
    <row r="11" spans="1:14" ht="12.75">
      <c r="A11" s="202">
        <v>8</v>
      </c>
      <c r="B11" s="204" t="s">
        <v>227</v>
      </c>
      <c r="C11" s="20">
        <v>3</v>
      </c>
      <c r="D11" s="213">
        <f>COUNTIF(RegList!A:A,HjArk!B11)</f>
        <v>3</v>
      </c>
      <c r="E11" s="12">
        <v>8</v>
      </c>
      <c r="F11" s="20" t="str">
        <f t="shared" si="1"/>
        <v>B</v>
      </c>
      <c r="G11" s="7" t="e">
        <f>IF(B11="","",IF(F11="A",ABS(LEFT(VLOOKUP(B11,Tables!$H$3:$K$36,2,FALSE),2)),IF(F11="B",ABS(LEFT(VLOOKUP(B11,Tables!$M$3:$P$36,2,FALSE),2)),IF(F11="C",ABS(LEFT(VLOOKUP(B11,Tables!$R$3:$U$36,2,FALSE),2))))))</f>
        <v>#VALUE!</v>
      </c>
      <c r="H11" s="7">
        <f>IF(B11="","",IF(F11="A",ABS(LEFT(VLOOKUP(B11,Tables!$H$3:$K$36,3,FALSE),2)),IF(F11="B",ABS(LEFT(VLOOKUP(B11,Tables!$M$3:$P$36,3,FALSE),2)),IF(F11="C",ABS(LEFT(VLOOKUP(B11,Tables!$R$3:$U$36,3,FALSE),2))))))</f>
        <v>13</v>
      </c>
      <c r="I11" s="7">
        <f>IF(B11="","",IF(F11="A",ABS(LEFT(VLOOKUP(B11,Tables!$H$45:$K$78,4,FALSE),2)),IF(F11="B",ABS(LEFT(VLOOKUP(B11,Tables!$M$45:$P$78,4,FALSE),2)),IF(F11="C",ABS(LEFT(VLOOKUP(B11,Tables!$R$45:$U$78,4,FALSE),2))))))</f>
        <v>5</v>
      </c>
      <c r="J11" s="20" t="str">
        <f t="shared" si="0"/>
        <v>Semi</v>
      </c>
      <c r="M11" t="str">
        <f>Tables!F10</f>
        <v>B</v>
      </c>
      <c r="N11">
        <f>IF(Tables!C10="",0,Tables!C10+Tables!D10)</f>
        <v>1</v>
      </c>
    </row>
    <row r="12" spans="1:14" ht="12.75">
      <c r="A12" s="202">
        <v>9</v>
      </c>
      <c r="B12" s="203" t="s">
        <v>239</v>
      </c>
      <c r="C12" s="20">
        <v>2</v>
      </c>
      <c r="D12" s="213">
        <f>COUNTIF(RegList!A:A,HjArk!B12)</f>
        <v>2</v>
      </c>
      <c r="E12" s="12">
        <v>9</v>
      </c>
      <c r="F12" s="20" t="str">
        <f t="shared" si="1"/>
        <v>A</v>
      </c>
      <c r="G12" s="7" t="e">
        <f>IF(B12="","",IF(F12="A",ABS(LEFT(VLOOKUP(B12,Tables!$H$3:$K$36,2,FALSE),2)),IF(F12="B",ABS(LEFT(VLOOKUP(B12,Tables!$M$3:$P$36,2,FALSE),2)),IF(F12="C",ABS(LEFT(VLOOKUP(B12,Tables!$R$3:$U$36,2,FALSE),2))))))</f>
        <v>#VALUE!</v>
      </c>
      <c r="H12" s="7" t="e">
        <f>IF(B12="","",IF(F12="A",ABS(LEFT(VLOOKUP(B12,Tables!$H$3:$K$36,3,FALSE),2)),IF(F12="B",ABS(LEFT(VLOOKUP(B12,Tables!$M$3:$P$36,3,FALSE),2)),IF(F12="C",ABS(LEFT(VLOOKUP(B12,Tables!$R$3:$U$36,3,FALSE),2))))))</f>
        <v>#VALUE!</v>
      </c>
      <c r="I12" s="7">
        <f>IF(B12="","",IF(F12="A",ABS(LEFT(VLOOKUP(B12,Tables!$H$45:$K$78,4,FALSE),2)),IF(F12="B",ABS(LEFT(VLOOKUP(B12,Tables!$M$45:$P$78,4,FALSE),2)),IF(F12="C",ABS(LEFT(VLOOKUP(B12,Tables!$R$45:$U$78,4,FALSE),2))))))</f>
        <v>4</v>
      </c>
      <c r="J12" s="20" t="str">
        <f t="shared" si="0"/>
        <v>Finale 4</v>
      </c>
      <c r="M12" t="str">
        <f>Tables!F11</f>
        <v>A</v>
      </c>
      <c r="N12">
        <f>IF(Tables!C11="",0,Tables!C11+Tables!D11)</f>
        <v>0</v>
      </c>
    </row>
    <row r="13" spans="1:14" ht="12.75">
      <c r="A13" s="202">
        <v>10</v>
      </c>
      <c r="B13" s="204" t="s">
        <v>241</v>
      </c>
      <c r="C13" s="20">
        <v>2</v>
      </c>
      <c r="D13" s="213">
        <f>COUNTIF(RegList!A:A,HjArk!B13)</f>
        <v>2</v>
      </c>
      <c r="E13" s="12">
        <v>10</v>
      </c>
      <c r="F13" s="20" t="str">
        <f t="shared" si="1"/>
        <v>A</v>
      </c>
      <c r="G13" s="7" t="e">
        <f>IF(B13="","",IF(F13="A",ABS(LEFT(VLOOKUP(B13,Tables!$H$3:$K$36,2,FALSE),2)),IF(F13="B",ABS(LEFT(VLOOKUP(B13,Tables!$M$3:$P$36,2,FALSE),2)),IF(F13="C",ABS(LEFT(VLOOKUP(B13,Tables!$R$3:$U$36,2,FALSE),2))))))</f>
        <v>#VALUE!</v>
      </c>
      <c r="H13" s="7" t="e">
        <f>IF(B13="","",IF(F13="A",ABS(LEFT(VLOOKUP(B13,Tables!$H$3:$K$36,3,FALSE),2)),IF(F13="B",ABS(LEFT(VLOOKUP(B13,Tables!$M$3:$P$36,3,FALSE),2)),IF(F13="C",ABS(LEFT(VLOOKUP(B13,Tables!$R$3:$U$36,3,FALSE),2))))))</f>
        <v>#VALUE!</v>
      </c>
      <c r="I13" s="7">
        <f>IF(B13="","",IF(F13="A",ABS(LEFT(VLOOKUP(B13,Tables!$H$45:$K$78,4,FALSE),2)),IF(F13="B",ABS(LEFT(VLOOKUP(B13,Tables!$M$45:$P$78,4,FALSE),2)),IF(F13="C",ABS(LEFT(VLOOKUP(B13,Tables!$R$45:$U$78,4,FALSE),2))))))</f>
        <v>5</v>
      </c>
      <c r="J13" s="20" t="str">
        <f t="shared" si="0"/>
        <v>Finale 5</v>
      </c>
      <c r="M13" t="str">
        <f>Tables!F12</f>
        <v>A</v>
      </c>
      <c r="N13">
        <f>IF(Tables!C12="",0,Tables!C12+Tables!D12)</f>
        <v>0</v>
      </c>
    </row>
    <row r="14" spans="1:14" ht="12.75">
      <c r="A14" s="202">
        <v>11</v>
      </c>
      <c r="B14" s="203"/>
      <c r="C14" s="20">
        <v>0</v>
      </c>
      <c r="D14" s="213">
        <f>COUNTIF(RegList!A:A,HjArk!B14)</f>
        <v>0</v>
      </c>
      <c r="E14" s="12">
        <v>11</v>
      </c>
      <c r="F14" s="20">
        <f t="shared" si="1"/>
      </c>
      <c r="G14" s="7">
        <f>IF(B14="","",IF(F14="A",ABS(LEFT(VLOOKUP(B14,Tables!$H$3:$K$36,2,FALSE),2)),IF(F14="B",ABS(LEFT(VLOOKUP(B14,Tables!$M$3:$P$36,2,FALSE),2)),IF(F14="C",ABS(LEFT(VLOOKUP(B14,Tables!$R$3:$U$36,2,FALSE),2))))))</f>
      </c>
      <c r="H14" s="7">
        <f>IF(B14="","",IF(F14="A",ABS(LEFT(VLOOKUP(B14,Tables!$H$3:$K$36,3,FALSE),2)),IF(F14="B",ABS(LEFT(VLOOKUP(B14,Tables!$M$3:$P$36,3,FALSE),2)),IF(F14="C",ABS(LEFT(VLOOKUP(B14,Tables!$R$3:$U$36,3,FALSE),2))))))</f>
      </c>
      <c r="I14" s="7">
        <f>IF(B14="","",IF(F14="A",ABS(LEFT(VLOOKUP(B14,Tables!$H$45:$K$78,4,FALSE),2)),IF(F14="B",ABS(LEFT(VLOOKUP(B14,Tables!$M$45:$P$78,4,FALSE),2)),IF(F14="C",ABS(LEFT(VLOOKUP(B14,Tables!$R$45:$U$78,4,FALSE),2))))))</f>
      </c>
      <c r="J14" s="20">
        <f t="shared" si="0"/>
      </c>
      <c r="M14" t="str">
        <f>Tables!F13</f>
        <v>B</v>
      </c>
      <c r="N14">
        <f>IF(Tables!C13="",0,Tables!C13+Tables!D13)</f>
        <v>0</v>
      </c>
    </row>
    <row r="15" spans="1:14" ht="12.75">
      <c r="A15" s="202">
        <v>12</v>
      </c>
      <c r="B15" s="204"/>
      <c r="C15" s="20">
        <v>0</v>
      </c>
      <c r="D15" s="213">
        <f>COUNTIF(RegList!A:A,HjArk!B15)</f>
        <v>0</v>
      </c>
      <c r="E15" s="12">
        <v>12</v>
      </c>
      <c r="F15" s="20">
        <f t="shared" si="1"/>
      </c>
      <c r="G15" s="7">
        <f>IF(B15="","",IF(F15="A",ABS(LEFT(VLOOKUP(B15,Tables!$H$3:$K$36,2,FALSE),2)),IF(F15="B",ABS(LEFT(VLOOKUP(B15,Tables!$M$3:$P$36,2,FALSE),2)),IF(F15="C",ABS(LEFT(VLOOKUP(B15,Tables!$R$3:$U$36,2,FALSE),2))))))</f>
      </c>
      <c r="H15" s="7">
        <f>IF(B15="","",IF(F15="A",ABS(LEFT(VLOOKUP(B15,Tables!$H$3:$K$36,3,FALSE),2)),IF(F15="B",ABS(LEFT(VLOOKUP(B15,Tables!$M$3:$P$36,3,FALSE),2)),IF(F15="C",ABS(LEFT(VLOOKUP(B15,Tables!$R$3:$U$36,3,FALSE),2))))))</f>
      </c>
      <c r="I15" s="7">
        <f>IF(B15="","",IF(F15="A",ABS(LEFT(VLOOKUP(B15,Tables!$H$45:$K$78,4,FALSE),2)),IF(F15="B",ABS(LEFT(VLOOKUP(B15,Tables!$M$45:$P$78,4,FALSE),2)),IF(F15="C",ABS(LEFT(VLOOKUP(B15,Tables!$R$45:$U$78,4,FALSE),2))))))</f>
      </c>
      <c r="J15" s="20">
        <f t="shared" si="0"/>
      </c>
      <c r="M15" t="str">
        <f>Tables!F14</f>
        <v>A</v>
      </c>
      <c r="N15">
        <f>IF(Tables!C14="",0,Tables!C14+Tables!D14)</f>
        <v>0</v>
      </c>
    </row>
    <row r="16" spans="1:14" ht="12.75">
      <c r="A16" s="202">
        <v>13</v>
      </c>
      <c r="B16" s="204"/>
      <c r="C16" s="20">
        <v>0</v>
      </c>
      <c r="D16" s="213">
        <f>COUNTIF(RegList!A:A,HjArk!B16)</f>
        <v>0</v>
      </c>
      <c r="E16" s="12">
        <v>13</v>
      </c>
      <c r="F16" s="20">
        <f t="shared" si="1"/>
      </c>
      <c r="G16" s="7">
        <f>IF(B16="","",IF(F16="A",ABS(LEFT(VLOOKUP(B16,Tables!$H$3:$K$36,2,FALSE),2)),IF(F16="B",ABS(LEFT(VLOOKUP(B16,Tables!$M$3:$P$36,2,FALSE),2)),IF(F16="C",ABS(LEFT(VLOOKUP(B16,Tables!$R$3:$U$36,2,FALSE),2))))))</f>
      </c>
      <c r="H16" s="7">
        <f>IF(B16="","",IF(F16="A",ABS(LEFT(VLOOKUP(B16,Tables!$H$3:$K$36,3,FALSE),2)),IF(F16="B",ABS(LEFT(VLOOKUP(B16,Tables!$M$3:$P$36,3,FALSE),2)),IF(F16="C",ABS(LEFT(VLOOKUP(B16,Tables!$R$3:$U$36,3,FALSE),2))))))</f>
      </c>
      <c r="I16" s="7">
        <f>IF(B16="","",IF(F16="A",ABS(LEFT(VLOOKUP(B16,Tables!$H$45:$K$78,4,FALSE),2)),IF(F16="B",ABS(LEFT(VLOOKUP(B16,Tables!$M$45:$P$78,4,FALSE),2)),IF(F16="C",ABS(LEFT(VLOOKUP(B16,Tables!$R$45:$U$78,4,FALSE),2))))))</f>
      </c>
      <c r="J16" s="20">
        <f t="shared" si="0"/>
      </c>
      <c r="M16" t="str">
        <f>Tables!F15</f>
        <v>A</v>
      </c>
      <c r="N16">
        <f>IF(Tables!C15="",0,Tables!C15+Tables!D15)</f>
        <v>0</v>
      </c>
    </row>
    <row r="17" spans="1:14" ht="12.75">
      <c r="A17" s="202">
        <v>14</v>
      </c>
      <c r="B17" s="203"/>
      <c r="C17" s="20">
        <v>0</v>
      </c>
      <c r="D17" s="213">
        <f>COUNTIF(RegList!A:A,HjArk!B17)</f>
        <v>0</v>
      </c>
      <c r="E17" s="12">
        <v>14</v>
      </c>
      <c r="F17" s="20">
        <f t="shared" si="1"/>
      </c>
      <c r="G17" s="7">
        <f>IF(B17="","",IF(F17="A",ABS(LEFT(VLOOKUP(B17,Tables!$H$3:$K$36,2,FALSE),2)),IF(F17="B",ABS(LEFT(VLOOKUP(B17,Tables!$M$3:$P$36,2,FALSE),2)),IF(F17="C",ABS(LEFT(VLOOKUP(B17,Tables!$R$3:$U$36,2,FALSE),2))))))</f>
      </c>
      <c r="H17" s="7">
        <f>IF(B17="","",IF(F17="A",ABS(LEFT(VLOOKUP(B17,Tables!$H$3:$K$36,3,FALSE),2)),IF(F17="B",ABS(LEFT(VLOOKUP(B17,Tables!$M$3:$P$36,3,FALSE),2)),IF(F17="C",ABS(LEFT(VLOOKUP(B17,Tables!$R$3:$U$36,3,FALSE),2))))))</f>
      </c>
      <c r="I17" s="7">
        <f>IF(B17="","",IF(F17="A",ABS(LEFT(VLOOKUP(B17,Tables!$H$45:$K$78,4,FALSE),2)),IF(F17="B",ABS(LEFT(VLOOKUP(B17,Tables!$M$45:$P$78,4,FALSE),2)),IF(F17="C",ABS(LEFT(VLOOKUP(B17,Tables!$R$45:$U$78,4,FALSE),2))))))</f>
      </c>
      <c r="J17" s="20">
        <f t="shared" si="0"/>
      </c>
      <c r="M17" t="str">
        <f>Tables!F16</f>
        <v>B</v>
      </c>
      <c r="N17">
        <f>IF(Tables!C16="",0,Tables!C16+Tables!D16)</f>
        <v>0</v>
      </c>
    </row>
    <row r="18" spans="1:14" ht="12.75">
      <c r="A18" s="202">
        <v>15</v>
      </c>
      <c r="B18" s="204"/>
      <c r="C18" s="20">
        <v>0</v>
      </c>
      <c r="D18" s="213">
        <f>COUNTIF(RegList!A:A,HjArk!B18)</f>
        <v>0</v>
      </c>
      <c r="E18" s="12">
        <v>15</v>
      </c>
      <c r="F18" s="20">
        <f t="shared" si="1"/>
      </c>
      <c r="G18" s="7">
        <f>IF(B18="","",IF(F18="A",ABS(LEFT(VLOOKUP(B18,Tables!$H$3:$K$36,2,FALSE),2)),IF(F18="B",ABS(LEFT(VLOOKUP(B18,Tables!$M$3:$P$36,2,FALSE),2)),IF(F18="C",ABS(LEFT(VLOOKUP(B18,Tables!$R$3:$U$36,2,FALSE),2))))))</f>
      </c>
      <c r="H18" s="7">
        <f>IF(B18="","",IF(F18="A",ABS(LEFT(VLOOKUP(B18,Tables!$H$3:$K$36,3,FALSE),2)),IF(F18="B",ABS(LEFT(VLOOKUP(B18,Tables!$M$3:$P$36,3,FALSE),2)),IF(F18="C",ABS(LEFT(VLOOKUP(B18,Tables!$R$3:$U$36,3,FALSE),2))))))</f>
      </c>
      <c r="I18" s="7">
        <f>IF(B18="","",IF(F18="A",ABS(LEFT(VLOOKUP(B18,Tables!$H$45:$K$78,4,FALSE),2)),IF(F18="B",ABS(LEFT(VLOOKUP(B18,Tables!$M$45:$P$78,4,FALSE),2)),IF(F18="C",ABS(LEFT(VLOOKUP(B18,Tables!$R$45:$U$78,4,FALSE),2))))))</f>
      </c>
      <c r="J18" s="20">
        <f t="shared" si="0"/>
      </c>
      <c r="M18" t="str">
        <f>Tables!F17</f>
        <v>C</v>
      </c>
      <c r="N18">
        <f>IF(Tables!C17="",0,Tables!C17+Tables!D17)</f>
        <v>0</v>
      </c>
    </row>
    <row r="19" spans="1:14" ht="12.75">
      <c r="A19" s="202">
        <v>16</v>
      </c>
      <c r="B19" s="205"/>
      <c r="C19" s="20">
        <v>0</v>
      </c>
      <c r="D19" s="213">
        <f>COUNTIF(RegList!A:A,HjArk!B19)</f>
        <v>0</v>
      </c>
      <c r="E19" s="12">
        <v>16</v>
      </c>
      <c r="F19" s="20">
        <f t="shared" si="1"/>
      </c>
      <c r="G19" s="7">
        <f>IF(B19="","",IF(F19="A",ABS(LEFT(VLOOKUP(B19,Tables!$H$3:$K$36,2,FALSE),2)),IF(F19="B",ABS(LEFT(VLOOKUP(B19,Tables!$M$3:$P$36,2,FALSE),2)),IF(F19="C",ABS(LEFT(VLOOKUP(B19,Tables!$R$3:$U$36,2,FALSE),2))))))</f>
      </c>
      <c r="H19" s="7">
        <f>IF(B19="","",IF(F19="A",ABS(LEFT(VLOOKUP(B19,Tables!$H$3:$K$36,3,FALSE),2)),IF(F19="B",ABS(LEFT(VLOOKUP(B19,Tables!$M$3:$P$36,3,FALSE),2)),IF(F19="C",ABS(LEFT(VLOOKUP(B19,Tables!$R$3:$U$36,3,FALSE),2))))))</f>
      </c>
      <c r="I19" s="7">
        <f>IF(B19="","",IF(F19="A",ABS(LEFT(VLOOKUP(B19,Tables!$H$45:$K$78,4,FALSE),2)),IF(F19="B",ABS(LEFT(VLOOKUP(B19,Tables!$M$45:$P$78,4,FALSE),2)),IF(F19="C",ABS(LEFT(VLOOKUP(B19,Tables!$R$45:$U$78,4,FALSE),2))))))</f>
      </c>
      <c r="J19" s="20">
        <f t="shared" si="0"/>
      </c>
      <c r="M19" t="str">
        <f>Tables!F18</f>
        <v>A</v>
      </c>
      <c r="N19">
        <f>IF(Tables!C18="",0,Tables!C18+Tables!D18)</f>
        <v>0</v>
      </c>
    </row>
    <row r="20" spans="1:14" ht="12.75">
      <c r="A20" s="202">
        <v>17</v>
      </c>
      <c r="B20" s="204"/>
      <c r="C20" s="20">
        <v>0</v>
      </c>
      <c r="D20" s="213">
        <f>COUNTIF(RegList!A:A,HjArk!B20)</f>
        <v>0</v>
      </c>
      <c r="E20" s="12">
        <v>17</v>
      </c>
      <c r="F20" s="20">
        <f t="shared" si="1"/>
      </c>
      <c r="G20" s="7">
        <f>IF(B20="","",IF(F20="A",ABS(LEFT(VLOOKUP(B20,Tables!$H$3:$K$36,2,FALSE),2)),IF(F20="B",ABS(LEFT(VLOOKUP(B20,Tables!$M$3:$P$36,2,FALSE),2)),IF(F20="C",ABS(LEFT(VLOOKUP(B20,Tables!$R$3:$U$36,2,FALSE),2))))))</f>
      </c>
      <c r="H20" s="7">
        <f>IF(B20="","",IF(F20="A",ABS(LEFT(VLOOKUP(B20,Tables!$H$3:$K$36,3,FALSE),2)),IF(F20="B",ABS(LEFT(VLOOKUP(B20,Tables!$M$3:$P$36,3,FALSE),2)),IF(F20="C",ABS(LEFT(VLOOKUP(B20,Tables!$R$3:$U$36,3,FALSE),2))))))</f>
      </c>
      <c r="I20" s="7">
        <f>IF(B20="","",IF(F20="A",ABS(LEFT(VLOOKUP(B20,Tables!$H$45:$K$78,4,FALSE),2)),IF(F20="B",ABS(LEFT(VLOOKUP(B20,Tables!$M$45:$P$78,4,FALSE),2)),IF(F20="C",ABS(LEFT(VLOOKUP(B20,Tables!$R$45:$U$78,4,FALSE),2))))))</f>
      </c>
      <c r="J20" s="20">
        <f t="shared" si="0"/>
      </c>
      <c r="M20" t="str">
        <f>Tables!F19</f>
        <v>B</v>
      </c>
      <c r="N20">
        <f>IF(Tables!C19="",0,Tables!C19+Tables!D19)</f>
        <v>0</v>
      </c>
    </row>
    <row r="21" spans="1:14" ht="12.75">
      <c r="A21" s="202">
        <v>18</v>
      </c>
      <c r="B21" s="204"/>
      <c r="C21" s="20">
        <v>0</v>
      </c>
      <c r="D21" s="213">
        <f>COUNTIF(RegList!A:A,HjArk!B21)</f>
        <v>0</v>
      </c>
      <c r="E21" s="12">
        <v>18</v>
      </c>
      <c r="F21" s="20">
        <f t="shared" si="1"/>
      </c>
      <c r="G21" s="7">
        <f>IF(B21="","",IF(F21="A",ABS(LEFT(VLOOKUP(B21,Tables!$H$3:$K$36,2,FALSE),2)),IF(F21="B",ABS(LEFT(VLOOKUP(B21,Tables!$M$3:$P$36,2,FALSE),2)),IF(F21="C",ABS(LEFT(VLOOKUP(B21,Tables!$R$3:$U$36,2,FALSE),2))))))</f>
      </c>
      <c r="H21" s="7">
        <f>IF(B21="","",IF(F21="A",ABS(LEFT(VLOOKUP(B21,Tables!$H$3:$K$36,3,FALSE),2)),IF(F21="B",ABS(LEFT(VLOOKUP(B21,Tables!$M$3:$P$36,3,FALSE),2)),IF(F21="C",ABS(LEFT(VLOOKUP(B21,Tables!$R$3:$U$36,3,FALSE),2))))))</f>
      </c>
      <c r="I21" s="7">
        <f>IF(B21="","",IF(F21="A",ABS(LEFT(VLOOKUP(B21,Tables!$H$45:$K$78,4,FALSE),2)),IF(F21="B",ABS(LEFT(VLOOKUP(B21,Tables!$M$45:$P$78,4,FALSE),2)),IF(F21="C",ABS(LEFT(VLOOKUP(B21,Tables!$R$45:$U$78,4,FALSE),2))))))</f>
      </c>
      <c r="J21" s="20">
        <f t="shared" si="0"/>
      </c>
      <c r="M21" t="str">
        <f>Tables!F20</f>
        <v>C</v>
      </c>
      <c r="N21">
        <f>IF(Tables!C20="",0,Tables!C20+Tables!D20)</f>
        <v>0</v>
      </c>
    </row>
    <row r="22" spans="1:14" ht="12.75">
      <c r="A22" s="202">
        <v>19</v>
      </c>
      <c r="B22" s="203"/>
      <c r="C22" s="20">
        <v>0</v>
      </c>
      <c r="D22" s="213">
        <f>COUNTIF(RegList!A:A,HjArk!B22)</f>
        <v>0</v>
      </c>
      <c r="E22" s="12">
        <v>19</v>
      </c>
      <c r="F22" s="20">
        <f t="shared" si="1"/>
      </c>
      <c r="G22" s="7">
        <f>IF(B22="","",IF(F22="A",ABS(LEFT(VLOOKUP(B22,Tables!$H$3:$K$36,2,FALSE),2)),IF(F22="B",ABS(LEFT(VLOOKUP(B22,Tables!$M$3:$P$36,2,FALSE),2)),IF(F22="C",ABS(LEFT(VLOOKUP(B22,Tables!$R$3:$U$36,2,FALSE),2))))))</f>
      </c>
      <c r="H22" s="7">
        <f>IF(B22="","",IF(F22="A",ABS(LEFT(VLOOKUP(B22,Tables!$H$3:$K$36,3,FALSE),2)),IF(F22="B",ABS(LEFT(VLOOKUP(B22,Tables!$M$3:$P$36,3,FALSE),2)),IF(F22="C",ABS(LEFT(VLOOKUP(B22,Tables!$R$3:$U$36,3,FALSE),2))))))</f>
      </c>
      <c r="I22" s="7">
        <f>IF(B22="","",IF(F22="A",ABS(LEFT(VLOOKUP(B22,Tables!$H$45:$K$78,4,FALSE),2)),IF(F22="B",ABS(LEFT(VLOOKUP(B22,Tables!$M$45:$P$78,4,FALSE),2)),IF(F22="C",ABS(LEFT(VLOOKUP(B22,Tables!$R$45:$U$78,4,FALSE),2))))))</f>
      </c>
      <c r="J22" s="20">
        <f t="shared" si="0"/>
      </c>
      <c r="M22" t="str">
        <f>Tables!F21</f>
        <v>A</v>
      </c>
      <c r="N22">
        <f>IF(Tables!C21="",0,Tables!C21+Tables!D21)</f>
        <v>0</v>
      </c>
    </row>
    <row r="23" spans="1:14" ht="12.75">
      <c r="A23" s="202">
        <v>20</v>
      </c>
      <c r="B23" s="204"/>
      <c r="C23" s="20">
        <v>0</v>
      </c>
      <c r="D23" s="213">
        <f>COUNTIF(RegList!A:A,HjArk!B23)</f>
        <v>0</v>
      </c>
      <c r="E23" s="12">
        <v>20</v>
      </c>
      <c r="F23" s="20">
        <f t="shared" si="1"/>
      </c>
      <c r="G23" s="7">
        <f>IF(B23="","",IF(F23="A",ABS(LEFT(VLOOKUP(B23,Tables!$H$3:$K$36,2,FALSE),2)),IF(F23="B",ABS(LEFT(VLOOKUP(B23,Tables!$M$3:$P$36,2,FALSE),2)),IF(F23="C",ABS(LEFT(VLOOKUP(B23,Tables!$R$3:$U$36,2,FALSE),2))))))</f>
      </c>
      <c r="H23" s="7">
        <f>IF(B23="","",IF(F23="A",ABS(LEFT(VLOOKUP(B23,Tables!$H$3:$K$36,3,FALSE),2)),IF(F23="B",ABS(LEFT(VLOOKUP(B23,Tables!$M$3:$P$36,3,FALSE),2)),IF(F23="C",ABS(LEFT(VLOOKUP(B23,Tables!$R$3:$U$36,3,FALSE),2))))))</f>
      </c>
      <c r="I23" s="7">
        <f>IF(B23="","",IF(F23="A",ABS(LEFT(VLOOKUP(B23,Tables!$H$45:$K$78,4,FALSE),2)),IF(F23="B",ABS(LEFT(VLOOKUP(B23,Tables!$M$45:$P$78,4,FALSE),2)),IF(F23="C",ABS(LEFT(VLOOKUP(B23,Tables!$R$45:$U$78,4,FALSE),2))))))</f>
      </c>
      <c r="J23" s="20">
        <f t="shared" si="0"/>
      </c>
      <c r="M23" t="str">
        <f>Tables!F22</f>
        <v>B</v>
      </c>
      <c r="N23">
        <f>IF(Tables!C22="",0,Tables!C22+Tables!D22)</f>
        <v>0</v>
      </c>
    </row>
    <row r="24" spans="1:14" ht="12.75">
      <c r="A24" s="202">
        <v>21</v>
      </c>
      <c r="B24" s="204"/>
      <c r="C24" s="20">
        <v>0</v>
      </c>
      <c r="D24" s="213">
        <f>COUNTIF(RegList!A:A,HjArk!B24)</f>
        <v>0</v>
      </c>
      <c r="E24" s="12">
        <v>21</v>
      </c>
      <c r="F24" s="20">
        <f t="shared" si="1"/>
      </c>
      <c r="G24" s="7">
        <f>IF(B24="","",IF(F24="A",ABS(LEFT(VLOOKUP(B24,Tables!$H$3:$K$36,2,FALSE),2)),IF(F24="B",ABS(LEFT(VLOOKUP(B24,Tables!$M$3:$P$36,2,FALSE),2)),IF(F24="C",ABS(LEFT(VLOOKUP(B24,Tables!$R$3:$U$36,2,FALSE),2))))))</f>
      </c>
      <c r="H24" s="7">
        <f>IF(B24="","",IF(F24="A",ABS(LEFT(VLOOKUP(B24,Tables!$H$3:$K$36,3,FALSE),2)),IF(F24="B",ABS(LEFT(VLOOKUP(B24,Tables!$M$3:$P$36,3,FALSE),2)),IF(F24="C",ABS(LEFT(VLOOKUP(B24,Tables!$R$3:$U$36,3,FALSE),2))))))</f>
      </c>
      <c r="I24" s="7">
        <f>IF(B24="","",IF(F24="A",ABS(LEFT(VLOOKUP(B24,Tables!$H$45:$K$78,4,FALSE),2)),IF(F24="B",ABS(LEFT(VLOOKUP(B24,Tables!$M$45:$P$78,4,FALSE),2)),IF(F24="C",ABS(LEFT(VLOOKUP(B24,Tables!$R$45:$U$78,4,FALSE),2))))))</f>
      </c>
      <c r="J24" s="20">
        <f t="shared" si="0"/>
      </c>
      <c r="M24" t="str">
        <f>Tables!F23</f>
        <v>C</v>
      </c>
      <c r="N24">
        <f>IF(Tables!C23="",0,Tables!C23+Tables!D23)</f>
        <v>0</v>
      </c>
    </row>
    <row r="25" spans="1:14" ht="12.75">
      <c r="A25" s="202">
        <v>22</v>
      </c>
      <c r="B25" s="204"/>
      <c r="C25" s="20">
        <v>0</v>
      </c>
      <c r="D25" s="213">
        <f>COUNTIF(RegList!A:A,HjArk!B25)</f>
        <v>0</v>
      </c>
      <c r="E25" s="12">
        <v>22</v>
      </c>
      <c r="F25" s="20">
        <f t="shared" si="1"/>
      </c>
      <c r="G25" s="7">
        <f>IF(B25="","",IF(F25="A",ABS(LEFT(VLOOKUP(B25,Tables!$H$3:$K$36,2,FALSE),2)),IF(F25="B",ABS(LEFT(VLOOKUP(B25,Tables!$M$3:$P$36,2,FALSE),2)),IF(F25="C",ABS(LEFT(VLOOKUP(B25,Tables!$R$3:$U$36,2,FALSE),2))))))</f>
      </c>
      <c r="H25" s="7">
        <f>IF(B25="","",IF(F25="A",ABS(LEFT(VLOOKUP(B25,Tables!$H$3:$K$36,3,FALSE),2)),IF(F25="B",ABS(LEFT(VLOOKUP(B25,Tables!$M$3:$P$36,3,FALSE),2)),IF(F25="C",ABS(LEFT(VLOOKUP(B25,Tables!$R$3:$U$36,3,FALSE),2))))))</f>
      </c>
      <c r="I25" s="7">
        <f>IF(B25="","",IF(F25="A",ABS(LEFT(VLOOKUP(B25,Tables!$H$45:$K$78,4,FALSE),2)),IF(F25="B",ABS(LEFT(VLOOKUP(B25,Tables!$M$45:$P$78,4,FALSE),2)),IF(F25="C",ABS(LEFT(VLOOKUP(B25,Tables!$R$45:$U$78,4,FALSE),2))))))</f>
      </c>
      <c r="J25" s="20">
        <f t="shared" si="0"/>
      </c>
      <c r="M25" t="str">
        <f>Tables!F24</f>
        <v>A</v>
      </c>
      <c r="N25">
        <f>IF(Tables!C24="",0,Tables!C24+Tables!D24)</f>
        <v>0</v>
      </c>
    </row>
    <row r="26" spans="1:14" ht="12.75">
      <c r="A26" s="202">
        <v>23</v>
      </c>
      <c r="B26" s="203"/>
      <c r="C26" s="20">
        <v>0</v>
      </c>
      <c r="D26" s="213">
        <f>COUNTIF(RegList!A:A,HjArk!B26)</f>
        <v>0</v>
      </c>
      <c r="E26" s="12">
        <v>23</v>
      </c>
      <c r="F26" s="20">
        <f t="shared" si="1"/>
      </c>
      <c r="G26" s="7">
        <f>IF(B26="","",IF(F26="A",ABS(LEFT(VLOOKUP(B26,Tables!$H$3:$K$36,2,FALSE),2)),IF(F26="B",ABS(LEFT(VLOOKUP(B26,Tables!$M$3:$P$36,2,FALSE),2)),IF(F26="C",ABS(LEFT(VLOOKUP(B26,Tables!$R$3:$U$36,2,FALSE),2))))))</f>
      </c>
      <c r="H26" s="7">
        <f>IF(B26="","",IF(F26="A",ABS(LEFT(VLOOKUP(B26,Tables!$H$3:$K$36,3,FALSE),2)),IF(F26="B",ABS(LEFT(VLOOKUP(B26,Tables!$M$3:$P$36,3,FALSE),2)),IF(F26="C",ABS(LEFT(VLOOKUP(B26,Tables!$R$3:$U$36,3,FALSE),2))))))</f>
      </c>
      <c r="I26" s="7">
        <f>IF(B26="","",IF(F26="A",ABS(LEFT(VLOOKUP(B26,Tables!$H$45:$K$78,4,FALSE),2)),IF(F26="B",ABS(LEFT(VLOOKUP(B26,Tables!$M$45:$P$78,4,FALSE),2)),IF(F26="C",ABS(LEFT(VLOOKUP(B26,Tables!$R$45:$U$78,4,FALSE),2))))))</f>
      </c>
      <c r="J26" s="20">
        <f t="shared" si="0"/>
      </c>
      <c r="M26" t="str">
        <f>Tables!F25</f>
        <v>B</v>
      </c>
      <c r="N26">
        <f>IF(Tables!C25="",0,Tables!C25+Tables!D25)</f>
        <v>0</v>
      </c>
    </row>
    <row r="27" spans="1:14" ht="12.75">
      <c r="A27" s="202">
        <v>24</v>
      </c>
      <c r="B27" s="204"/>
      <c r="C27" s="20">
        <v>0</v>
      </c>
      <c r="D27" s="213">
        <f>COUNTIF(RegList!A:A,HjArk!B27)</f>
        <v>0</v>
      </c>
      <c r="E27" s="12">
        <v>24</v>
      </c>
      <c r="F27" s="20">
        <f t="shared" si="1"/>
      </c>
      <c r="G27" s="7">
        <f>IF(B27="","",IF(F27="A",ABS(LEFT(VLOOKUP(B27,Tables!$H$3:$K$36,2,FALSE),2)),IF(F27="B",ABS(LEFT(VLOOKUP(B27,Tables!$M$3:$P$36,2,FALSE),2)),IF(F27="C",ABS(LEFT(VLOOKUP(B27,Tables!$R$3:$U$36,2,FALSE),2))))))</f>
      </c>
      <c r="H27" s="7">
        <f>IF(B27="","",IF(F27="A",ABS(LEFT(VLOOKUP(B27,Tables!$H$3:$K$36,3,FALSE),2)),IF(F27="B",ABS(LEFT(VLOOKUP(B27,Tables!$M$3:$P$36,3,FALSE),2)),IF(F27="C",ABS(LEFT(VLOOKUP(B27,Tables!$R$3:$U$36,3,FALSE),2))))))</f>
      </c>
      <c r="I27" s="7">
        <f>IF(B27="","",IF(F27="A",ABS(LEFT(VLOOKUP(B27,Tables!$H$45:$K$78,4,FALSE),2)),IF(F27="B",ABS(LEFT(VLOOKUP(B27,Tables!$M$45:$P$78,4,FALSE),2)),IF(F27="C",ABS(LEFT(VLOOKUP(B27,Tables!$R$45:$U$78,4,FALSE),2))))))</f>
      </c>
      <c r="J27" s="20">
        <f t="shared" si="0"/>
      </c>
      <c r="M27" t="str">
        <f>Tables!F26</f>
        <v>C</v>
      </c>
      <c r="N27">
        <f>IF(Tables!C26="",0,Tables!C26+Tables!D26)</f>
        <v>0</v>
      </c>
    </row>
    <row r="28" spans="1:14" ht="12.75">
      <c r="A28" s="202">
        <v>25</v>
      </c>
      <c r="B28" s="204"/>
      <c r="C28" s="20">
        <v>0</v>
      </c>
      <c r="D28" s="213">
        <f>COUNTIF(RegList!A:A,HjArk!B28)</f>
        <v>0</v>
      </c>
      <c r="E28" s="12">
        <v>25</v>
      </c>
      <c r="F28" s="20">
        <f t="shared" si="1"/>
      </c>
      <c r="G28" s="7">
        <f>IF(B28="","",IF(F28="A",ABS(LEFT(VLOOKUP(B28,Tables!$H$3:$K$36,2,FALSE),2)),IF(F28="B",ABS(LEFT(VLOOKUP(B28,Tables!$M$3:$P$36,2,FALSE),2)),IF(F28="C",ABS(LEFT(VLOOKUP(B28,Tables!$R$3:$U$36,2,FALSE),2))))))</f>
      </c>
      <c r="H28" s="7">
        <f>IF(B28="","",IF(F28="A",ABS(LEFT(VLOOKUP(B28,Tables!$H$3:$K$36,3,FALSE),2)),IF(F28="B",ABS(LEFT(VLOOKUP(B28,Tables!$M$3:$P$36,3,FALSE),2)),IF(F28="C",ABS(LEFT(VLOOKUP(B28,Tables!$R$3:$U$36,3,FALSE),2))))))</f>
      </c>
      <c r="I28" s="7">
        <f>IF(B28="","",IF(F28="A",ABS(LEFT(VLOOKUP(B28,Tables!$H$45:$K$78,4,FALSE),2)),IF(F28="B",ABS(LEFT(VLOOKUP(B28,Tables!$M$45:$P$78,4,FALSE),2)),IF(F28="C",ABS(LEFT(VLOOKUP(B28,Tables!$R$45:$U$78,4,FALSE),2))))))</f>
      </c>
      <c r="J28" s="20">
        <f t="shared" si="0"/>
      </c>
      <c r="M28" t="str">
        <f>Tables!F27</f>
        <v>A</v>
      </c>
      <c r="N28">
        <f>IF(Tables!C27="",0,Tables!C27+Tables!D27)</f>
        <v>0</v>
      </c>
    </row>
    <row r="29" spans="1:14" ht="12.75">
      <c r="A29" s="202">
        <v>26</v>
      </c>
      <c r="B29" s="203"/>
      <c r="C29" s="20">
        <v>0</v>
      </c>
      <c r="D29" s="213">
        <f>COUNTIF(RegList!A:A,HjArk!B29)</f>
        <v>0</v>
      </c>
      <c r="E29" s="12">
        <v>26</v>
      </c>
      <c r="F29" s="20">
        <f t="shared" si="1"/>
      </c>
      <c r="G29" s="7">
        <f>IF(B29="","",IF(F29="A",ABS(LEFT(VLOOKUP(B29,Tables!$H$3:$K$36,2,FALSE),2)),IF(F29="B",ABS(LEFT(VLOOKUP(B29,Tables!$M$3:$P$36,2,FALSE),2)),IF(F29="C",ABS(LEFT(VLOOKUP(B29,Tables!$R$3:$U$36,2,FALSE),2))))))</f>
      </c>
      <c r="H29" s="7">
        <f>IF(B29="","",IF(F29="A",ABS(LEFT(VLOOKUP(B29,Tables!$H$3:$K$36,3,FALSE),2)),IF(F29="B",ABS(LEFT(VLOOKUP(B29,Tables!$M$3:$P$36,3,FALSE),2)),IF(F29="C",ABS(LEFT(VLOOKUP(B29,Tables!$R$3:$U$36,3,FALSE),2))))))</f>
      </c>
      <c r="I29" s="7">
        <f>IF(B29="","",IF(F29="A",ABS(LEFT(VLOOKUP(B29,Tables!$H$45:$K$78,4,FALSE),2)),IF(F29="B",ABS(LEFT(VLOOKUP(B29,Tables!$M$45:$P$78,4,FALSE),2)),IF(F29="C",ABS(LEFT(VLOOKUP(B29,Tables!$R$45:$U$78,4,FALSE),2))))))</f>
      </c>
      <c r="J29" s="20">
        <f t="shared" si="0"/>
      </c>
      <c r="M29" t="str">
        <f>Tables!F28</f>
        <v>B</v>
      </c>
      <c r="N29">
        <f>IF(Tables!C28="",0,Tables!C28+Tables!D28)</f>
        <v>0</v>
      </c>
    </row>
    <row r="30" spans="1:14" ht="12.75">
      <c r="A30" s="202">
        <v>27</v>
      </c>
      <c r="B30" s="203"/>
      <c r="C30" s="20">
        <v>0</v>
      </c>
      <c r="D30" s="213">
        <f>COUNTIF(RegList!A:A,HjArk!B30)</f>
        <v>0</v>
      </c>
      <c r="E30" s="12">
        <v>27</v>
      </c>
      <c r="F30" s="20">
        <f t="shared" si="1"/>
      </c>
      <c r="G30" s="7">
        <f>IF(B30="","",IF(F30="A",ABS(LEFT(VLOOKUP(B30,Tables!$H$3:$K$36,2,FALSE),2)),IF(F30="B",ABS(LEFT(VLOOKUP(B30,Tables!$M$3:$P$36,2,FALSE),2)),IF(F30="C",ABS(LEFT(VLOOKUP(B30,Tables!$R$3:$U$36,2,FALSE),2))))))</f>
      </c>
      <c r="H30" s="7">
        <f>IF(B30="","",IF(F30="A",ABS(LEFT(VLOOKUP(B30,Tables!$H$3:$K$36,3,FALSE),2)),IF(F30="B",ABS(LEFT(VLOOKUP(B30,Tables!$M$3:$P$36,3,FALSE),2)),IF(F30="C",ABS(LEFT(VLOOKUP(B30,Tables!$R$3:$U$36,3,FALSE),2))))))</f>
      </c>
      <c r="I30" s="7">
        <f>IF(B30="","",IF(F30="A",ABS(LEFT(VLOOKUP(B30,Tables!$H$45:$K$78,4,FALSE),2)),IF(F30="B",ABS(LEFT(VLOOKUP(B30,Tables!$M$45:$P$78,4,FALSE),2)),IF(F30="C",ABS(LEFT(VLOOKUP(B30,Tables!$R$45:$U$78,4,FALSE),2))))))</f>
      </c>
      <c r="J30" s="20">
        <f t="shared" si="0"/>
      </c>
      <c r="M30" t="str">
        <f>Tables!F29</f>
        <v>C</v>
      </c>
      <c r="N30">
        <f>IF(Tables!C29="",0,Tables!C29+Tables!D29)</f>
        <v>0</v>
      </c>
    </row>
    <row r="31" spans="1:14" ht="12.75">
      <c r="A31" s="202">
        <v>28</v>
      </c>
      <c r="B31" s="204"/>
      <c r="C31" s="20">
        <v>0</v>
      </c>
      <c r="D31" s="213">
        <f>COUNTIF(RegList!A:A,HjArk!B31)</f>
        <v>0</v>
      </c>
      <c r="E31" s="12">
        <v>28</v>
      </c>
      <c r="F31" s="20">
        <f t="shared" si="1"/>
      </c>
      <c r="G31" s="7">
        <f>IF(B31="","",IF(F31="A",ABS(LEFT(VLOOKUP(B31,Tables!$H$3:$K$36,2,FALSE),2)),IF(F31="B",ABS(LEFT(VLOOKUP(B31,Tables!$M$3:$P$36,2,FALSE),2)),IF(F31="C",ABS(LEFT(VLOOKUP(B31,Tables!$R$3:$U$36,2,FALSE),2))))))</f>
      </c>
      <c r="H31" s="7">
        <f>IF(B31="","",IF(F31="A",ABS(LEFT(VLOOKUP(B31,Tables!$H$3:$K$36,3,FALSE),2)),IF(F31="B",ABS(LEFT(VLOOKUP(B31,Tables!$M$3:$P$36,3,FALSE),2)),IF(F31="C",ABS(LEFT(VLOOKUP(B31,Tables!$R$3:$U$36,3,FALSE),2))))))</f>
      </c>
      <c r="I31" s="7">
        <f>IF(B31="","",IF(F31="A",ABS(LEFT(VLOOKUP(B31,Tables!$H$45:$K$78,4,FALSE),2)),IF(F31="B",ABS(LEFT(VLOOKUP(B31,Tables!$M$45:$P$78,4,FALSE),2)),IF(F31="C",ABS(LEFT(VLOOKUP(B31,Tables!$R$45:$U$78,4,FALSE),2))))))</f>
      </c>
      <c r="J31" s="20">
        <f t="shared" si="0"/>
      </c>
      <c r="M31">
        <f>Tables!F30</f>
        <v>0</v>
      </c>
      <c r="N31">
        <f>IF(Tables!C30="",0,Tables!C30+Tables!D30)</f>
        <v>0</v>
      </c>
    </row>
    <row r="32" spans="1:14" ht="12.75">
      <c r="A32" s="202">
        <v>29</v>
      </c>
      <c r="B32" s="204"/>
      <c r="C32" s="20">
        <v>0</v>
      </c>
      <c r="D32" s="213">
        <f>COUNTIF(RegList!A:A,HjArk!B32)</f>
        <v>0</v>
      </c>
      <c r="E32" s="12">
        <v>29</v>
      </c>
      <c r="F32" s="20">
        <f t="shared" si="1"/>
      </c>
      <c r="G32" s="7">
        <f>IF(B32="","",IF(F32="A",ABS(LEFT(VLOOKUP(B32,Tables!$H$3:$K$36,2,FALSE),2)),IF(F32="B",ABS(LEFT(VLOOKUP(B32,Tables!$M$3:$P$36,2,FALSE),2)),IF(F32="C",ABS(LEFT(VLOOKUP(B32,Tables!$R$3:$U$36,2,FALSE),2))))))</f>
      </c>
      <c r="H32" s="7">
        <f>IF(B32="","",IF(F32="A",ABS(LEFT(VLOOKUP(B32,Tables!$H$3:$K$36,3,FALSE),2)),IF(F32="B",ABS(LEFT(VLOOKUP(B32,Tables!$M$3:$P$36,3,FALSE),2)),IF(F32="C",ABS(LEFT(VLOOKUP(B32,Tables!$R$3:$U$36,3,FALSE),2))))))</f>
      </c>
      <c r="I32" s="7">
        <f>IF(B32="","",IF(F32="A",ABS(LEFT(VLOOKUP(B32,Tables!$H$45:$K$78,4,FALSE),2)),IF(F32="B",ABS(LEFT(VLOOKUP(B32,Tables!$M$45:$P$78,4,FALSE),2)),IF(F32="C",ABS(LEFT(VLOOKUP(B32,Tables!$R$45:$U$78,4,FALSE),2))))))</f>
      </c>
      <c r="J32" s="20">
        <f t="shared" si="0"/>
      </c>
      <c r="M32">
        <f>Tables!F31</f>
        <v>0</v>
      </c>
      <c r="N32">
        <f>IF(Tables!C31="",0,Tables!C31+Tables!D31)</f>
        <v>0</v>
      </c>
    </row>
    <row r="33" spans="1:14" ht="12.75">
      <c r="A33" s="202">
        <v>30</v>
      </c>
      <c r="B33" s="204"/>
      <c r="C33" s="20">
        <v>0</v>
      </c>
      <c r="D33" s="213">
        <f>COUNTIF(RegList!A:A,HjArk!B33)</f>
        <v>0</v>
      </c>
      <c r="E33" s="12">
        <v>30</v>
      </c>
      <c r="F33" s="20">
        <f t="shared" si="1"/>
      </c>
      <c r="G33" s="7">
        <f>IF(B33="","",IF(F33="A",ABS(LEFT(VLOOKUP(B33,Tables!$H$3:$K$36,2,FALSE),2)),IF(F33="B",ABS(LEFT(VLOOKUP(B33,Tables!$M$3:$P$36,2,FALSE),2)),IF(F33="C",ABS(LEFT(VLOOKUP(B33,Tables!$R$3:$U$36,2,FALSE),2))))))</f>
      </c>
      <c r="H33" s="7">
        <f>IF(B33="","",IF(F33="A",ABS(LEFT(VLOOKUP(B33,Tables!$H$3:$K$36,3,FALSE),2)),IF(F33="B",ABS(LEFT(VLOOKUP(B33,Tables!$M$3:$P$36,3,FALSE),2)),IF(F33="C",ABS(LEFT(VLOOKUP(B33,Tables!$R$3:$U$36,3,FALSE),2))))))</f>
      </c>
      <c r="I33" s="7">
        <f>IF(B33="","",IF(F33="A",ABS(LEFT(VLOOKUP(B33,Tables!$H$45:$K$78,4,FALSE),2)),IF(F33="B",ABS(LEFT(VLOOKUP(B33,Tables!$M$45:$P$78,4,FALSE),2)),IF(F33="C",ABS(LEFT(VLOOKUP(B33,Tables!$R$45:$U$78,4,FALSE),2))))))</f>
      </c>
      <c r="J33" s="20">
        <f t="shared" si="0"/>
      </c>
      <c r="M33">
        <f>Tables!F32</f>
        <v>0</v>
      </c>
      <c r="N33">
        <f>IF(Tables!C32="",0,Tables!C32+Tables!D32)</f>
        <v>0</v>
      </c>
    </row>
    <row r="34" spans="1:14" ht="12.75">
      <c r="A34" s="202">
        <v>31</v>
      </c>
      <c r="B34" s="204"/>
      <c r="C34" s="20">
        <v>0</v>
      </c>
      <c r="D34" s="213">
        <f>COUNTIF(RegList!A:A,HjArk!B34)</f>
        <v>0</v>
      </c>
      <c r="E34" s="12">
        <v>31</v>
      </c>
      <c r="F34" s="20">
        <f t="shared" si="1"/>
      </c>
      <c r="G34" s="7">
        <f>IF(B34="","",IF(F34="A",ABS(LEFT(VLOOKUP(B34,Tables!$H$3:$K$36,2,FALSE),2)),IF(F34="B",ABS(LEFT(VLOOKUP(B34,Tables!$M$3:$P$36,2,FALSE),2)),IF(F34="C",ABS(LEFT(VLOOKUP(B34,Tables!$R$3:$U$36,2,FALSE),2))))))</f>
      </c>
      <c r="H34" s="7">
        <f>IF(B34="","",IF(F34="A",ABS(LEFT(VLOOKUP(B34,Tables!$H$3:$K$36,3,FALSE),2)),IF(F34="B",ABS(LEFT(VLOOKUP(B34,Tables!$M$3:$P$36,3,FALSE),2)),IF(F34="C",ABS(LEFT(VLOOKUP(B34,Tables!$R$3:$U$36,3,FALSE),2))))))</f>
      </c>
      <c r="I34" s="7">
        <f>IF(B34="","",IF(F34="A",ABS(LEFT(VLOOKUP(B34,Tables!$H$45:$K$78,4,FALSE),2)),IF(F34="B",ABS(LEFT(VLOOKUP(B34,Tables!$M$45:$P$78,4,FALSE),2)),IF(F34="C",ABS(LEFT(VLOOKUP(B34,Tables!$R$45:$U$78,4,FALSE),2))))))</f>
      </c>
      <c r="J34" s="20">
        <f t="shared" si="0"/>
      </c>
      <c r="M34">
        <f>Tables!F33</f>
        <v>0</v>
      </c>
      <c r="N34">
        <f>IF(Tables!C33="",0,Tables!C33+Tables!D33)</f>
        <v>0</v>
      </c>
    </row>
    <row r="35" spans="1:14" ht="12.75">
      <c r="A35" s="202">
        <v>32</v>
      </c>
      <c r="B35" s="204"/>
      <c r="C35" s="20">
        <v>0</v>
      </c>
      <c r="D35" s="213">
        <f>COUNTIF(RegList!A:A,HjArk!B35)</f>
        <v>0</v>
      </c>
      <c r="E35" s="12">
        <v>32</v>
      </c>
      <c r="F35" s="20">
        <f t="shared" si="1"/>
      </c>
      <c r="G35" s="7">
        <f>IF(B35="","",IF(F35="A",ABS(LEFT(VLOOKUP(B35,Tables!$H$3:$K$36,2,FALSE),2)),IF(F35="B",ABS(LEFT(VLOOKUP(B35,Tables!$M$3:$P$36,2,FALSE),2)),IF(F35="C",ABS(LEFT(VLOOKUP(B35,Tables!$R$3:$U$36,2,FALSE),2))))))</f>
      </c>
      <c r="H35" s="7">
        <f>IF(B35="","",IF(F35="A",ABS(LEFT(VLOOKUP(B35,Tables!$H$3:$K$36,3,FALSE),2)),IF(F35="B",ABS(LEFT(VLOOKUP(B35,Tables!$M$3:$P$36,3,FALSE),2)),IF(F35="C",ABS(LEFT(VLOOKUP(B35,Tables!$R$3:$U$36,3,FALSE),2))))))</f>
      </c>
      <c r="I35" s="7">
        <f>IF(B35="","",IF(F35="A",ABS(LEFT(VLOOKUP(B35,Tables!$H$45:$K$78,4,FALSE),2)),IF(F35="B",ABS(LEFT(VLOOKUP(B35,Tables!$M$45:$P$78,4,FALSE),2)),IF(F35="C",ABS(LEFT(VLOOKUP(B35,Tables!$R$45:$U$78,4,FALSE),2))))))</f>
      </c>
      <c r="J35" s="20">
        <f t="shared" si="0"/>
      </c>
      <c r="M35">
        <f>Tables!F34</f>
        <v>0</v>
      </c>
      <c r="N35">
        <f>IF(Tables!C34="",0,Tables!C34+Tables!D34)</f>
        <v>0</v>
      </c>
    </row>
    <row r="36" spans="1:14" ht="12.75">
      <c r="A36" s="202">
        <v>33</v>
      </c>
      <c r="B36" s="204"/>
      <c r="C36" s="20">
        <v>0</v>
      </c>
      <c r="D36" s="213">
        <f>COUNTIF(RegList!A:A,HjArk!B36)</f>
        <v>0</v>
      </c>
      <c r="E36" s="12">
        <v>33</v>
      </c>
      <c r="F36" s="20">
        <f t="shared" si="1"/>
      </c>
      <c r="G36" s="7">
        <f>IF(B36="","",IF(F36="A",ABS(LEFT(VLOOKUP(B36,Tables!$H$3:$K$36,2,FALSE),2)),IF(F36="B",ABS(LEFT(VLOOKUP(B36,Tables!$M$3:$P$36,2,FALSE),2)),IF(F36="C",ABS(LEFT(VLOOKUP(B36,Tables!$R$3:$U$36,2,FALSE),2))))))</f>
      </c>
      <c r="H36" s="7">
        <f>IF(B36="","",IF(F36="A",ABS(LEFT(VLOOKUP(B36,Tables!$H$3:$K$36,3,FALSE),2)),IF(F36="B",ABS(LEFT(VLOOKUP(B36,Tables!$M$3:$P$36,3,FALSE),2)),IF(F36="C",ABS(LEFT(VLOOKUP(B36,Tables!$R$3:$U$36,3,FALSE),2))))))</f>
      </c>
      <c r="I36" s="7">
        <f>IF(B36="","",IF(F36="A",ABS(LEFT(VLOOKUP(B36,Tables!$H$45:$K$78,4,FALSE),2)),IF(F36="B",ABS(LEFT(VLOOKUP(B36,Tables!$M$45:$P$78,4,FALSE),2)),IF(F36="C",ABS(LEFT(VLOOKUP(B36,Tables!$R$45:$U$78,4,FALSE),2))))))</f>
      </c>
      <c r="J36" s="20">
        <f t="shared" si="0"/>
      </c>
      <c r="M36">
        <f>Tables!F35</f>
        <v>0</v>
      </c>
      <c r="N36">
        <f>IF(Tables!C35="",0,Tables!C35+Tables!D35)</f>
        <v>0</v>
      </c>
    </row>
    <row r="37" spans="1:14" ht="13.5" thickBot="1">
      <c r="A37" s="206">
        <v>34</v>
      </c>
      <c r="B37" s="207"/>
      <c r="C37" s="30">
        <v>0</v>
      </c>
      <c r="D37" s="214">
        <f>COUNTIF(RegList!A:A,HjArk!B37)</f>
        <v>0</v>
      </c>
      <c r="E37" s="29">
        <v>34</v>
      </c>
      <c r="F37" s="30">
        <f t="shared" si="1"/>
      </c>
      <c r="G37" s="38">
        <f>IF(B37="","",IF(F37="A",ABS(LEFT(VLOOKUP(B37,Tables!$H$3:$K$36,2,FALSE),2)),IF(F37="B",ABS(LEFT(VLOOKUP(B37,Tables!$M$3:$P$36,2,FALSE),2)),IF(F37="C",ABS(LEFT(VLOOKUP(B37,Tables!$R$3:$U$36,2,FALSE),2))))))</f>
      </c>
      <c r="H37" s="38">
        <f>IF(B37="","",IF(F37="A",ABS(LEFT(VLOOKUP(B37,Tables!$H$3:$K$36,3,FALSE),2)),IF(F37="B",ABS(LEFT(VLOOKUP(B37,Tables!$M$3:$P$36,3,FALSE),2)),IF(F37="C",ABS(LEFT(VLOOKUP(B37,Tables!$R$3:$U$36,3,FALSE),2))))))</f>
      </c>
      <c r="I37" s="38">
        <f>IF(B37="","",IF(F37="A",ABS(LEFT(VLOOKUP(B37,Tables!$H$45:$K$78,4,FALSE),2)),IF(F37="B",ABS(LEFT(VLOOKUP(B37,Tables!$M$45:$P$78,4,FALSE),2)),IF(F37="C",ABS(LEFT(VLOOKUP(B37,Tables!$R$45:$U$78,4,FALSE),2))))))</f>
      </c>
      <c r="J37" s="30">
        <f t="shared" si="0"/>
      </c>
      <c r="M37">
        <f>Tables!F36</f>
        <v>0</v>
      </c>
      <c r="N37">
        <f>IF(Tables!C36="",0,Tables!C36+Tables!D36)</f>
        <v>0</v>
      </c>
    </row>
    <row r="38" ht="13.5" thickBot="1"/>
    <row r="39" spans="1:10" ht="13.5" thickBot="1">
      <c r="A39" s="423" t="s">
        <v>60</v>
      </c>
      <c r="B39" s="423"/>
      <c r="C39" s="423"/>
      <c r="D39" s="423"/>
      <c r="I39" s="253" t="s">
        <v>158</v>
      </c>
      <c r="J39" s="250"/>
    </row>
    <row r="40" spans="1:10" ht="13.5" thickBot="1">
      <c r="A40" s="9"/>
      <c r="B40" s="10" t="s">
        <v>62</v>
      </c>
      <c r="C40" s="10"/>
      <c r="D40" s="11"/>
      <c r="E40" s="223" t="s">
        <v>122</v>
      </c>
      <c r="F40" s="224">
        <f>COUNTA(Kl_A)</f>
        <v>5</v>
      </c>
      <c r="G40">
        <f>IF(AntTatA&gt;0,1,0)</f>
        <v>1</v>
      </c>
      <c r="I40" s="253"/>
      <c r="J40" s="250" t="s">
        <v>159</v>
      </c>
    </row>
    <row r="41" spans="1:10" ht="13.5" thickBot="1">
      <c r="A41" s="12" t="s">
        <v>64</v>
      </c>
      <c r="B41" s="14" t="s">
        <v>65</v>
      </c>
      <c r="C41" s="14" t="s">
        <v>66</v>
      </c>
      <c r="D41" s="15" t="s">
        <v>67</v>
      </c>
      <c r="E41" s="225" t="s">
        <v>123</v>
      </c>
      <c r="F41" s="226">
        <f>COUNTA(Kl_B)</f>
        <v>5</v>
      </c>
      <c r="G41">
        <f>IF(AntTatB&gt;0,1,0)</f>
        <v>1</v>
      </c>
      <c r="I41" s="256">
        <v>6</v>
      </c>
      <c r="J41" s="250" t="s">
        <v>155</v>
      </c>
    </row>
    <row r="42" spans="1:10" ht="13.5" thickBot="1">
      <c r="A42" s="17">
        <v>1</v>
      </c>
      <c r="B42" s="18">
        <v>0</v>
      </c>
      <c r="C42" s="18">
        <v>0</v>
      </c>
      <c r="D42" s="19">
        <v>0</v>
      </c>
      <c r="E42" s="227" t="s">
        <v>124</v>
      </c>
      <c r="F42" s="228">
        <f>COUNTA(Kl_C)</f>
        <v>0</v>
      </c>
      <c r="G42">
        <f>IF(AntTatC&gt;0,1,0)</f>
        <v>0</v>
      </c>
      <c r="I42" s="254">
        <v>5</v>
      </c>
      <c r="J42" s="251" t="s">
        <v>156</v>
      </c>
    </row>
    <row r="43" spans="1:10" ht="13.5" thickBot="1">
      <c r="A43" s="21">
        <v>2</v>
      </c>
      <c r="B43" s="22">
        <v>0</v>
      </c>
      <c r="C43" s="22">
        <v>0</v>
      </c>
      <c r="D43" s="23">
        <v>0</v>
      </c>
      <c r="I43" s="254">
        <v>4</v>
      </c>
      <c r="J43" s="251" t="s">
        <v>157</v>
      </c>
    </row>
    <row r="44" spans="1:10" ht="12.75">
      <c r="A44" s="24">
        <v>3</v>
      </c>
      <c r="B44" s="25">
        <v>0</v>
      </c>
      <c r="C44" s="25">
        <v>1</v>
      </c>
      <c r="D44" s="26">
        <v>0</v>
      </c>
      <c r="E44" s="234" t="s">
        <v>126</v>
      </c>
      <c r="F44" s="235">
        <f>MAX(E45:E47)</f>
        <v>13</v>
      </c>
      <c r="I44" s="254">
        <v>3</v>
      </c>
      <c r="J44" s="251" t="s">
        <v>160</v>
      </c>
    </row>
    <row r="45" spans="1:10" ht="12.75">
      <c r="A45" s="24">
        <v>4</v>
      </c>
      <c r="B45" s="25">
        <v>0</v>
      </c>
      <c r="C45" s="25">
        <v>2</v>
      </c>
      <c r="D45" s="26">
        <v>1</v>
      </c>
      <c r="E45" s="236">
        <f>IF(ISERROR(F45),0,F45)</f>
        <v>13</v>
      </c>
      <c r="F45" s="237">
        <f>IF(VLOOKUP(TatA!M2,Tables!M3:O36,2,FALSE)=" - ",ABS(LEFT(VLOOKUP(TatA!M2,Tables!M3:O36,3,FALSE),2)),ABS(LEFT(VLOOKUP(TatA!M2,Tables!M3:O36,2,FALSE),2)))</f>
        <v>13</v>
      </c>
      <c r="I45" s="254">
        <v>2</v>
      </c>
      <c r="J45" s="251" t="s">
        <v>161</v>
      </c>
    </row>
    <row r="46" spans="1:10" ht="13.5" thickBot="1">
      <c r="A46" s="24">
        <v>5</v>
      </c>
      <c r="B46" s="25">
        <v>1</v>
      </c>
      <c r="C46" s="25">
        <v>2</v>
      </c>
      <c r="D46" s="26">
        <v>1</v>
      </c>
      <c r="E46" s="236">
        <f>IF(ISERROR(F46),0,F46)</f>
        <v>0</v>
      </c>
      <c r="F46" s="237" t="e">
        <f>IF(VLOOKUP(TatA!M2,Tables!R3:T36,2,FALSE)=" - ",ABS(LEFT(VLOOKUP(TatA!M2,Tables!R3:T36,3,FALSE),2)),ABS(LEFT(VLOOKUP(TatA!M2,Tables!R3:T36,2,FALSE),2)))</f>
        <v>#N/A</v>
      </c>
      <c r="I46" s="255">
        <v>1</v>
      </c>
      <c r="J46" s="251" t="s">
        <v>161</v>
      </c>
    </row>
    <row r="47" spans="1:10" ht="13.5" thickBot="1">
      <c r="A47" s="24">
        <v>6</v>
      </c>
      <c r="B47" s="25">
        <v>2</v>
      </c>
      <c r="C47" s="25">
        <v>2</v>
      </c>
      <c r="D47" s="26">
        <v>1</v>
      </c>
      <c r="E47" s="210">
        <f>IF(ISERROR(F47),0,F47)</f>
        <v>0</v>
      </c>
      <c r="F47" s="238" t="e">
        <f>IF(VLOOKUP(TatA!M2,Tables!H3:J36,2,FALSE)=" - ",ABS(LEFT(VLOOKUP(TatA!M2,Tables!H3:J36,3,FALSE),2)),ABS(LEFT(VLOOKUP(TatA!M2,Tables!H3:J36,2,FALSE),2)))</f>
        <v>#N/A</v>
      </c>
      <c r="I47" s="258">
        <v>3</v>
      </c>
      <c r="J47" s="250"/>
    </row>
    <row r="48" spans="1:10" ht="13.5" thickBot="1">
      <c r="A48" s="24">
        <v>7</v>
      </c>
      <c r="B48" s="25">
        <v>3</v>
      </c>
      <c r="C48" s="25">
        <v>2</v>
      </c>
      <c r="D48" s="26">
        <v>1</v>
      </c>
      <c r="I48" s="257" t="str">
        <f>VLOOKUP(Col,TabPoeng,2,FALSE)</f>
        <v>L</v>
      </c>
      <c r="J48" s="252"/>
    </row>
    <row r="49" spans="1:4" ht="13.5" thickBot="1">
      <c r="A49" s="24">
        <v>8</v>
      </c>
      <c r="B49" s="25">
        <v>4</v>
      </c>
      <c r="C49" s="25">
        <v>2</v>
      </c>
      <c r="D49" s="26">
        <v>1</v>
      </c>
    </row>
    <row r="50" spans="1:6" ht="12.75">
      <c r="A50" s="24">
        <v>9</v>
      </c>
      <c r="B50" s="25">
        <v>5</v>
      </c>
      <c r="C50" s="25">
        <v>2</v>
      </c>
      <c r="D50" s="26">
        <v>1</v>
      </c>
      <c r="E50" t="s">
        <v>162</v>
      </c>
      <c r="F50" s="259">
        <v>12</v>
      </c>
    </row>
    <row r="51" spans="1:6" ht="12.75">
      <c r="A51" s="24">
        <v>10</v>
      </c>
      <c r="B51" s="25">
        <v>6</v>
      </c>
      <c r="C51" s="25">
        <v>2</v>
      </c>
      <c r="D51" s="26">
        <v>1</v>
      </c>
      <c r="E51" t="s">
        <v>163</v>
      </c>
      <c r="F51" s="260">
        <v>2</v>
      </c>
    </row>
    <row r="52" spans="1:7" ht="12.75">
      <c r="A52" s="24">
        <v>11</v>
      </c>
      <c r="B52" s="25">
        <v>7</v>
      </c>
      <c r="C52" s="25">
        <v>2</v>
      </c>
      <c r="D52" s="26">
        <v>1</v>
      </c>
      <c r="E52" t="s">
        <v>164</v>
      </c>
      <c r="F52" s="260" t="str">
        <f>IF(ISTEXT(CheckTall1),"Tap",IF(ISTEXT(CheckTall2),"Seier",IF((CheckTall1-CheckTall2)&lt;0,"Tap","Seier")))</f>
        <v>Seier</v>
      </c>
      <c r="G52" t="s">
        <v>115</v>
      </c>
    </row>
    <row r="53" spans="1:6" ht="12.75">
      <c r="A53" s="24">
        <v>12</v>
      </c>
      <c r="B53" s="25">
        <v>8</v>
      </c>
      <c r="C53" s="25">
        <v>2</v>
      </c>
      <c r="D53" s="26">
        <v>1</v>
      </c>
      <c r="E53" t="s">
        <v>165</v>
      </c>
      <c r="F53" s="260">
        <f>IF(ISTEXT(CheckTall2),"Tekst",0)</f>
        <v>0</v>
      </c>
    </row>
    <row r="54" spans="1:7" ht="13.5" thickBot="1">
      <c r="A54" s="24">
        <v>13</v>
      </c>
      <c r="B54" s="25">
        <v>9</v>
      </c>
      <c r="C54" s="25">
        <v>2</v>
      </c>
      <c r="D54" s="26">
        <v>1</v>
      </c>
      <c r="E54" t="s">
        <v>166</v>
      </c>
      <c r="F54" s="261" t="str">
        <f>IF(ISTEXT(CheckTall2),"Tap",IF(ISTEXT(CheckTall1),"Seier",IF((CheckTall2-CheckTall1)&lt;0,"Tap","Seier")))</f>
        <v>Tap</v>
      </c>
      <c r="G54" t="s">
        <v>167</v>
      </c>
    </row>
    <row r="55" spans="1:4" ht="13.5" thickBot="1">
      <c r="A55" s="24">
        <v>14</v>
      </c>
      <c r="B55" s="25">
        <v>10</v>
      </c>
      <c r="C55" s="25">
        <v>2</v>
      </c>
      <c r="D55" s="26">
        <v>1</v>
      </c>
    </row>
    <row r="56" spans="1:6" ht="13.5" thickBot="1">
      <c r="A56" s="24">
        <v>15</v>
      </c>
      <c r="B56" s="25">
        <v>11</v>
      </c>
      <c r="C56" s="25">
        <v>2</v>
      </c>
      <c r="D56" s="26">
        <v>1</v>
      </c>
      <c r="E56" t="s">
        <v>171</v>
      </c>
      <c r="F56" s="285">
        <f>COUNTA(RegList!H:H)-1</f>
        <v>45</v>
      </c>
    </row>
    <row r="57" spans="1:4" ht="13.5" thickBot="1">
      <c r="A57" s="27">
        <v>16</v>
      </c>
      <c r="B57" s="28">
        <v>12</v>
      </c>
      <c r="C57" s="25">
        <v>2</v>
      </c>
      <c r="D57" s="26">
        <v>1</v>
      </c>
    </row>
    <row r="58" spans="1:6" ht="13.5" thickBot="1">
      <c r="A58" s="24">
        <v>17</v>
      </c>
      <c r="B58" s="25">
        <v>13</v>
      </c>
      <c r="C58" s="25">
        <v>2</v>
      </c>
      <c r="D58" s="26">
        <v>1</v>
      </c>
      <c r="E58" t="s">
        <v>172</v>
      </c>
      <c r="F58" s="290" t="s">
        <v>230</v>
      </c>
    </row>
    <row r="59" spans="1:4" ht="13.5" thickBot="1">
      <c r="A59" s="24">
        <v>18</v>
      </c>
      <c r="B59" s="25">
        <v>14</v>
      </c>
      <c r="C59" s="25">
        <v>2</v>
      </c>
      <c r="D59" s="26">
        <v>1</v>
      </c>
    </row>
    <row r="60" spans="1:6" ht="13.5" thickBot="1">
      <c r="A60" s="27">
        <v>19</v>
      </c>
      <c r="B60" s="28">
        <v>15</v>
      </c>
      <c r="C60" s="25">
        <v>2</v>
      </c>
      <c r="D60" s="26">
        <v>1</v>
      </c>
      <c r="E60" t="s">
        <v>179</v>
      </c>
      <c r="F60" s="290" t="b">
        <v>0</v>
      </c>
    </row>
    <row r="61" spans="1:4" ht="13.5" thickBot="1">
      <c r="A61" s="24">
        <v>20</v>
      </c>
      <c r="B61" s="25">
        <v>16</v>
      </c>
      <c r="C61" s="25">
        <v>2</v>
      </c>
      <c r="D61" s="26">
        <v>1</v>
      </c>
    </row>
    <row r="62" spans="1:6" ht="13.5" thickBot="1">
      <c r="A62" s="24">
        <v>21</v>
      </c>
      <c r="B62" s="25">
        <v>17</v>
      </c>
      <c r="C62" s="25">
        <v>2</v>
      </c>
      <c r="D62" s="26">
        <v>1</v>
      </c>
      <c r="E62" t="s">
        <v>183</v>
      </c>
      <c r="F62" s="290">
        <v>0</v>
      </c>
    </row>
    <row r="63" spans="1:4" ht="13.5" thickBot="1">
      <c r="A63" s="27">
        <v>22</v>
      </c>
      <c r="B63" s="28">
        <v>18</v>
      </c>
      <c r="C63" s="25">
        <v>2</v>
      </c>
      <c r="D63" s="26">
        <v>1</v>
      </c>
    </row>
    <row r="64" spans="1:6" ht="12.75">
      <c r="A64" s="24">
        <v>23</v>
      </c>
      <c r="B64" s="25">
        <v>19</v>
      </c>
      <c r="C64" s="25">
        <v>2</v>
      </c>
      <c r="D64" s="26">
        <v>1</v>
      </c>
      <c r="E64" s="424" t="s">
        <v>184</v>
      </c>
      <c r="F64" s="317">
        <f>IF(ISERROR(VLOOKUP(TatA!M2,Tables!H45:K78,4,FALSE)),"",VLOOKUP(TatA!M2,Tables!H45:K78,4,FALSE))</f>
      </c>
    </row>
    <row r="65" spans="1:6" ht="12.75">
      <c r="A65" s="24">
        <v>24</v>
      </c>
      <c r="B65" s="25">
        <v>20</v>
      </c>
      <c r="C65" s="25">
        <v>2</v>
      </c>
      <c r="D65" s="26">
        <v>1</v>
      </c>
      <c r="E65" s="425"/>
      <c r="F65" s="318">
        <f>IF(ISERROR(VLOOKUP(TatA!M2,Tables!M45:P78,4,FALSE)),"",VLOOKUP(TatA!M2,Tables!M45:P78,4,FALSE))</f>
        <v>5</v>
      </c>
    </row>
    <row r="66" spans="1:6" ht="13.5" thickBot="1">
      <c r="A66" s="24">
        <v>25</v>
      </c>
      <c r="B66" s="25">
        <v>21</v>
      </c>
      <c r="C66" s="25">
        <v>2</v>
      </c>
      <c r="D66" s="26">
        <v>1</v>
      </c>
      <c r="E66" s="425"/>
      <c r="F66" s="319">
        <f>IF(ISERROR(VLOOKUP(TatA!M2,Tables!R45:U78,4,FALSE)),"",VLOOKUP(TatA!M2,Tables!R45:U78,4,FALSE))</f>
      </c>
    </row>
    <row r="67" spans="1:6" ht="13.5" thickBot="1">
      <c r="A67" s="24">
        <v>26</v>
      </c>
      <c r="B67" s="25">
        <v>22</v>
      </c>
      <c r="C67" s="25">
        <v>2</v>
      </c>
      <c r="D67" s="26">
        <v>1</v>
      </c>
      <c r="E67" s="426"/>
      <c r="F67" s="290">
        <f>SUM(F64:F66)</f>
        <v>5</v>
      </c>
    </row>
    <row r="68" spans="1:4" ht="13.5" thickBot="1">
      <c r="A68" s="27">
        <v>27</v>
      </c>
      <c r="B68" s="28">
        <v>23</v>
      </c>
      <c r="C68" s="25">
        <v>2</v>
      </c>
      <c r="D68" s="26">
        <v>1</v>
      </c>
    </row>
    <row r="69" spans="1:6" ht="12.75">
      <c r="A69" s="24">
        <v>28</v>
      </c>
      <c r="B69" s="25">
        <v>24</v>
      </c>
      <c r="C69" s="25">
        <v>2</v>
      </c>
      <c r="D69" s="26">
        <v>1</v>
      </c>
      <c r="E69" s="424" t="s">
        <v>185</v>
      </c>
      <c r="F69" s="317">
        <f>IF(ISERROR(VLOOKUP(TatA!M2,Tables!H3:K36,4,FALSE)),"",VLOOKUP(TatA!M2,Tables!H3:K36,4,FALSE))</f>
      </c>
    </row>
    <row r="70" spans="1:6" ht="12.75">
      <c r="A70" s="24">
        <v>29</v>
      </c>
      <c r="B70" s="25">
        <v>25</v>
      </c>
      <c r="C70" s="25">
        <v>2</v>
      </c>
      <c r="D70" s="26">
        <v>1</v>
      </c>
      <c r="E70" s="425"/>
      <c r="F70" s="318">
        <f>IF(ISERROR(VLOOKUP(TatA!M2,Tables!M3:P36,4,FALSE)),"",VLOOKUP(TatA!M2,Tables!M3:P36,4,FALSE))</f>
      </c>
    </row>
    <row r="71" spans="1:6" ht="13.5" thickBot="1">
      <c r="A71" s="24">
        <v>30</v>
      </c>
      <c r="B71" s="28">
        <v>26</v>
      </c>
      <c r="C71" s="25">
        <v>2</v>
      </c>
      <c r="D71" s="26">
        <v>1</v>
      </c>
      <c r="E71" s="425"/>
      <c r="F71" s="319">
        <f>IF(ISERROR(VLOOKUP(TatA!M2,Tables!R3:U36,4,FALSE)),"",VLOOKUP(TatA!M2,Tables!R3:U36,4,FALSE))</f>
      </c>
    </row>
    <row r="72" spans="1:6" ht="13.5" thickBot="1">
      <c r="A72" s="24">
        <v>31</v>
      </c>
      <c r="B72" s="25">
        <v>27</v>
      </c>
      <c r="C72" s="25">
        <v>2</v>
      </c>
      <c r="D72" s="26">
        <v>1</v>
      </c>
      <c r="E72" s="426"/>
      <c r="F72" s="290">
        <f>SUM(F69:F71)</f>
        <v>0</v>
      </c>
    </row>
    <row r="73" spans="1:4" ht="13.5" thickBot="1">
      <c r="A73" s="24">
        <v>32</v>
      </c>
      <c r="B73" s="25">
        <v>28</v>
      </c>
      <c r="C73" s="25">
        <v>2</v>
      </c>
      <c r="D73" s="26">
        <v>1</v>
      </c>
    </row>
    <row r="74" spans="1:6" ht="13.5" thickBot="1">
      <c r="A74" s="24">
        <v>33</v>
      </c>
      <c r="B74" s="25">
        <v>29</v>
      </c>
      <c r="C74" s="25">
        <v>2</v>
      </c>
      <c r="D74" s="26">
        <v>1</v>
      </c>
      <c r="E74" t="s">
        <v>187</v>
      </c>
      <c r="F74" s="290">
        <v>31</v>
      </c>
    </row>
    <row r="75" spans="1:6" ht="13.5" thickBot="1">
      <c r="A75" s="24">
        <v>34</v>
      </c>
      <c r="B75" s="25">
        <v>30</v>
      </c>
      <c r="C75" s="25">
        <v>2</v>
      </c>
      <c r="D75" s="26">
        <v>1</v>
      </c>
      <c r="E75" t="s">
        <v>188</v>
      </c>
      <c r="F75" s="290">
        <v>31</v>
      </c>
    </row>
    <row r="76" spans="1:6" ht="13.5" thickBot="1">
      <c r="A76" s="24">
        <v>35</v>
      </c>
      <c r="B76" s="25">
        <v>31</v>
      </c>
      <c r="C76" s="25">
        <v>2</v>
      </c>
      <c r="D76" s="26">
        <v>1</v>
      </c>
      <c r="E76" t="s">
        <v>189</v>
      </c>
      <c r="F76" s="290">
        <v>0</v>
      </c>
    </row>
    <row r="77" spans="1:4" ht="13.5" thickBot="1">
      <c r="A77" s="24">
        <v>36</v>
      </c>
      <c r="B77" s="25">
        <v>32</v>
      </c>
      <c r="C77" s="25">
        <v>2</v>
      </c>
      <c r="D77" s="26">
        <v>1</v>
      </c>
    </row>
    <row r="78" spans="1:6" ht="13.5" thickBot="1">
      <c r="A78" s="24">
        <v>37</v>
      </c>
      <c r="B78" s="25">
        <v>33</v>
      </c>
      <c r="C78" s="25">
        <v>2</v>
      </c>
      <c r="D78" s="26">
        <v>1</v>
      </c>
      <c r="E78" t="s">
        <v>196</v>
      </c>
      <c r="F78" s="290"/>
    </row>
    <row r="79" spans="1:4" ht="13.5" thickBot="1">
      <c r="A79" s="24">
        <v>38</v>
      </c>
      <c r="B79" s="25">
        <v>34</v>
      </c>
      <c r="C79" s="25">
        <v>2</v>
      </c>
      <c r="D79" s="26">
        <v>1</v>
      </c>
    </row>
    <row r="80" spans="1:6" ht="13.5" thickBot="1">
      <c r="A80" s="24">
        <v>39</v>
      </c>
      <c r="B80" s="25">
        <v>35</v>
      </c>
      <c r="C80" s="25">
        <v>2</v>
      </c>
      <c r="D80" s="26">
        <v>1</v>
      </c>
      <c r="E80" t="s">
        <v>198</v>
      </c>
      <c r="F80" s="290" t="s">
        <v>322</v>
      </c>
    </row>
    <row r="81" spans="1:4" ht="13.5" thickBot="1">
      <c r="A81" s="24">
        <v>40</v>
      </c>
      <c r="B81" s="25">
        <v>36</v>
      </c>
      <c r="C81" s="25">
        <v>2</v>
      </c>
      <c r="D81" s="26">
        <v>1</v>
      </c>
    </row>
    <row r="82" spans="1:6" ht="13.5" thickBot="1">
      <c r="A82" s="24">
        <v>41</v>
      </c>
      <c r="B82" s="25">
        <v>37</v>
      </c>
      <c r="C82" s="25">
        <v>2</v>
      </c>
      <c r="D82" s="26">
        <v>1</v>
      </c>
      <c r="E82" t="s">
        <v>199</v>
      </c>
      <c r="F82" s="290">
        <f>COUNTA(Lists!A:A)</f>
        <v>53</v>
      </c>
    </row>
    <row r="83" spans="1:4" ht="13.5" thickBot="1">
      <c r="A83" s="24">
        <v>42</v>
      </c>
      <c r="B83" s="25">
        <v>38</v>
      </c>
      <c r="C83" s="25">
        <v>2</v>
      </c>
      <c r="D83" s="26">
        <v>1</v>
      </c>
    </row>
    <row r="84" spans="1:6" ht="13.5" thickBot="1">
      <c r="A84" s="24">
        <v>43</v>
      </c>
      <c r="B84" s="25">
        <v>39</v>
      </c>
      <c r="C84" s="25">
        <v>2</v>
      </c>
      <c r="D84" s="26">
        <v>1</v>
      </c>
      <c r="E84" t="s">
        <v>200</v>
      </c>
      <c r="F84" s="290">
        <v>1</v>
      </c>
    </row>
    <row r="85" spans="1:4" ht="13.5" thickBot="1">
      <c r="A85" s="24">
        <v>44</v>
      </c>
      <c r="B85" s="25">
        <v>40</v>
      </c>
      <c r="C85" s="25">
        <v>2</v>
      </c>
      <c r="D85" s="26">
        <v>1</v>
      </c>
    </row>
    <row r="86" spans="1:6" ht="13.5" thickBot="1">
      <c r="A86" s="24">
        <v>45</v>
      </c>
      <c r="B86" s="25">
        <v>41</v>
      </c>
      <c r="C86" s="25">
        <v>2</v>
      </c>
      <c r="D86" s="26">
        <v>1</v>
      </c>
      <c r="E86" t="s">
        <v>201</v>
      </c>
      <c r="F86" s="290" t="s">
        <v>294</v>
      </c>
    </row>
    <row r="87" spans="1:4" ht="12.75">
      <c r="A87" s="24">
        <v>46</v>
      </c>
      <c r="B87" s="25">
        <v>42</v>
      </c>
      <c r="C87" s="25">
        <v>2</v>
      </c>
      <c r="D87" s="26">
        <v>1</v>
      </c>
    </row>
    <row r="88" spans="1:4" ht="12.75">
      <c r="A88" s="24">
        <v>47</v>
      </c>
      <c r="B88" s="25">
        <v>43</v>
      </c>
      <c r="C88" s="25">
        <v>2</v>
      </c>
      <c r="D88" s="26">
        <v>1</v>
      </c>
    </row>
    <row r="89" spans="1:4" ht="12.75">
      <c r="A89" s="24">
        <v>48</v>
      </c>
      <c r="B89" s="25">
        <v>44</v>
      </c>
      <c r="C89" s="25">
        <v>2</v>
      </c>
      <c r="D89" s="26">
        <v>1</v>
      </c>
    </row>
    <row r="90" spans="1:4" ht="12.75">
      <c r="A90" s="24">
        <v>49</v>
      </c>
      <c r="B90" s="25">
        <v>45</v>
      </c>
      <c r="C90" s="25">
        <v>2</v>
      </c>
      <c r="D90" s="26">
        <v>1</v>
      </c>
    </row>
    <row r="91" spans="1:4" ht="12.75">
      <c r="A91" s="24">
        <v>50</v>
      </c>
      <c r="B91" s="25">
        <v>46</v>
      </c>
      <c r="C91" s="25">
        <v>2</v>
      </c>
      <c r="D91" s="26">
        <v>1</v>
      </c>
    </row>
    <row r="92" spans="1:4" ht="12.75">
      <c r="A92" s="24">
        <v>51</v>
      </c>
      <c r="B92" s="25">
        <v>47</v>
      </c>
      <c r="C92" s="25">
        <v>2</v>
      </c>
      <c r="D92" s="26">
        <v>1</v>
      </c>
    </row>
    <row r="93" spans="1:4" ht="12.75">
      <c r="A93" s="24">
        <v>52</v>
      </c>
      <c r="B93" s="25">
        <v>48</v>
      </c>
      <c r="C93" s="25">
        <v>2</v>
      </c>
      <c r="D93" s="26">
        <v>1</v>
      </c>
    </row>
    <row r="94" spans="1:4" ht="12.75">
      <c r="A94" s="24">
        <v>53</v>
      </c>
      <c r="B94" s="25">
        <v>49</v>
      </c>
      <c r="C94" s="25">
        <v>2</v>
      </c>
      <c r="D94" s="26">
        <v>1</v>
      </c>
    </row>
    <row r="95" spans="1:4" ht="12.75">
      <c r="A95" s="24">
        <v>54</v>
      </c>
      <c r="B95" s="25">
        <v>50</v>
      </c>
      <c r="C95" s="25">
        <v>2</v>
      </c>
      <c r="D95" s="26">
        <v>1</v>
      </c>
    </row>
    <row r="96" spans="1:4" ht="12.75">
      <c r="A96" s="24">
        <v>55</v>
      </c>
      <c r="B96" s="25">
        <v>51</v>
      </c>
      <c r="C96" s="25">
        <v>2</v>
      </c>
      <c r="D96" s="26">
        <v>1</v>
      </c>
    </row>
    <row r="97" spans="1:4" ht="12.75">
      <c r="A97" s="24">
        <v>56</v>
      </c>
      <c r="B97" s="25">
        <v>52</v>
      </c>
      <c r="C97" s="25">
        <v>2</v>
      </c>
      <c r="D97" s="26">
        <v>1</v>
      </c>
    </row>
    <row r="98" spans="1:4" ht="12.75">
      <c r="A98" s="24">
        <v>57</v>
      </c>
      <c r="B98" s="25">
        <v>53</v>
      </c>
      <c r="C98" s="25">
        <v>2</v>
      </c>
      <c r="D98" s="26">
        <v>1</v>
      </c>
    </row>
    <row r="99" spans="1:4" ht="12.75">
      <c r="A99" s="24">
        <v>58</v>
      </c>
      <c r="B99" s="25">
        <v>54</v>
      </c>
      <c r="C99" s="25">
        <v>2</v>
      </c>
      <c r="D99" s="26">
        <v>1</v>
      </c>
    </row>
    <row r="100" spans="1:4" ht="12.75">
      <c r="A100" s="24">
        <v>59</v>
      </c>
      <c r="B100" s="25">
        <v>55</v>
      </c>
      <c r="C100" s="25">
        <v>2</v>
      </c>
      <c r="D100" s="26">
        <v>1</v>
      </c>
    </row>
    <row r="101" spans="1:4" ht="12.75">
      <c r="A101" s="24">
        <v>60</v>
      </c>
      <c r="B101" s="25">
        <v>56</v>
      </c>
      <c r="C101" s="25">
        <v>2</v>
      </c>
      <c r="D101" s="26">
        <v>1</v>
      </c>
    </row>
    <row r="102" spans="1:4" ht="12.75">
      <c r="A102" s="24">
        <v>61</v>
      </c>
      <c r="B102" s="25">
        <v>57</v>
      </c>
      <c r="C102" s="25">
        <v>2</v>
      </c>
      <c r="D102" s="26">
        <v>1</v>
      </c>
    </row>
    <row r="103" spans="1:4" ht="12.75">
      <c r="A103" s="24">
        <v>62</v>
      </c>
      <c r="B103" s="25">
        <v>58</v>
      </c>
      <c r="C103" s="25">
        <v>2</v>
      </c>
      <c r="D103" s="26">
        <v>1</v>
      </c>
    </row>
    <row r="104" spans="1:4" ht="12.75">
      <c r="A104" s="24">
        <v>63</v>
      </c>
      <c r="B104" s="25">
        <v>59</v>
      </c>
      <c r="C104" s="25">
        <v>2</v>
      </c>
      <c r="D104" s="26">
        <v>1</v>
      </c>
    </row>
    <row r="105" spans="1:4" ht="12.75">
      <c r="A105" s="24">
        <v>64</v>
      </c>
      <c r="B105" s="25">
        <v>60</v>
      </c>
      <c r="C105" s="25">
        <v>2</v>
      </c>
      <c r="D105" s="26">
        <v>1</v>
      </c>
    </row>
    <row r="106" spans="1:4" ht="13.5" thickBot="1">
      <c r="A106" s="32">
        <v>65</v>
      </c>
      <c r="B106" s="33">
        <v>61</v>
      </c>
      <c r="C106" s="33">
        <v>2</v>
      </c>
      <c r="D106" s="34">
        <v>1</v>
      </c>
    </row>
    <row r="108" spans="2:3" ht="13.5" thickBot="1">
      <c r="B108" s="3" t="s">
        <v>125</v>
      </c>
      <c r="C108" s="3"/>
    </row>
    <row r="109" spans="1:9" ht="13.5" thickBot="1">
      <c r="A109">
        <f>IF(B109&lt;&gt;"",1,"")</f>
        <v>1</v>
      </c>
      <c r="B109" s="229" t="str">
        <f>IF(VLOOKUP(TatA!M3,Tab1,2,FALSE)=0,"",VLOOKUP(TatA!M3,Tab1,2,FALSE))</f>
        <v>I40</v>
      </c>
      <c r="C109" s="230">
        <f>IF(VLOOKUP(TatA!M3,Tab!A71:BL102,2,FALSE)="Finale","Finale",(StartNoA-1)+IF(VLOOKUP(TatA!M3,Tab!A71:BL102,2,FALSE)=0,0,VLOOKUP(TatA!M3,Tab!A71:BL102,2,FALSE)))</f>
        <v>13</v>
      </c>
      <c r="E109" s="420" t="s">
        <v>99</v>
      </c>
      <c r="F109" s="421"/>
      <c r="G109" s="421"/>
      <c r="H109" s="421"/>
      <c r="I109" s="422"/>
    </row>
    <row r="110" spans="1:9" ht="12.75">
      <c r="A110">
        <f>IF(B110&lt;&gt;"",1+A109,"")</f>
        <v>2</v>
      </c>
      <c r="B110" s="229" t="str">
        <f>IF(VLOOKUP(TatA!M3,Tab1,3,FALSE)=0,"",VLOOKUP(TatA!M3,Tab1,3,FALSE))</f>
        <v>I42</v>
      </c>
      <c r="C110" s="231">
        <f>IF(VLOOKUP(TatA!M3,Tab!A71:BL102,3,FALSE)="Finale","Finale",(StartNoA-1)+IF(VLOOKUP(TatA!M3,Tab!A71:BL102,3,FALSE)=0,0,VLOOKUP(TatA!M3,Tab!A71:BL102,3,FALSE)))</f>
        <v>13</v>
      </c>
      <c r="E110" s="145">
        <v>1</v>
      </c>
      <c r="F110" s="146"/>
      <c r="G110" s="146"/>
      <c r="H110" s="146"/>
      <c r="I110" s="13"/>
    </row>
    <row r="111" spans="1:9" ht="12.75">
      <c r="A111">
        <f aca="true" t="shared" si="2" ref="A111:A139">IF(B111&lt;&gt;"",1+A110,"")</f>
        <v>3</v>
      </c>
      <c r="B111" s="229" t="str">
        <f>IF(VLOOKUP(TatA!M3,Tab1,4,FALSE)=0,"",VLOOKUP(TatA!M3,Tab1,4,FALSE))</f>
        <v>L33</v>
      </c>
      <c r="C111" s="231" t="str">
        <f>IF(VLOOKUP(TatA!$M3,Tab!A$71:BL$102,4,FALSE)="Finale","Finale",(StartNoA-1)+IF(VLOOKUP(TatA!$M3,Tab!A$71:BL$102,4,FALSE)=0,0,VLOOKUP(TatA!$M3,Tab!A$71:BL$102,4,FALSE)))</f>
        <v>Finale</v>
      </c>
      <c r="E111" s="31">
        <v>2</v>
      </c>
      <c r="F111" s="7"/>
      <c r="G111" s="7"/>
      <c r="H111" s="7"/>
      <c r="I111" s="20"/>
    </row>
    <row r="112" spans="1:9" ht="12.75">
      <c r="A112">
        <f t="shared" si="2"/>
      </c>
      <c r="B112" s="229">
        <f>IF(VLOOKUP(TatA!M3,Tab1,5,FALSE)=0,"",VLOOKUP(TatA!M3,Tab1,5,FALSE))</f>
      </c>
      <c r="C112" s="231">
        <f>IF(VLOOKUP(TatA!M3,Tab!A71:BL102,5,FALSE)="Finale","Finale",(StartNoA-1)+IF(VLOOKUP(TatA!M3,Tab!A71:BL102,5,FALSE)=0,0,VLOOKUP(TatA!M3,Tab!A71:BL102,5,FALSE)))</f>
        <v>12</v>
      </c>
      <c r="E112" s="31">
        <v>3</v>
      </c>
      <c r="F112" s="7" t="s">
        <v>42</v>
      </c>
      <c r="G112" s="7"/>
      <c r="H112" s="7"/>
      <c r="I112" s="20"/>
    </row>
    <row r="113" spans="1:9" ht="12.75">
      <c r="A113">
        <f t="shared" si="2"/>
      </c>
      <c r="B113" s="229">
        <f>IF(VLOOKUP(TatA!M3,Tab1,6,FALSE)=0,"",VLOOKUP(TatA!M3,Tab1,6,FALSE))</f>
      </c>
      <c r="C113" s="231">
        <f>IF(VLOOKUP(TatA!M3,Tab!A71:BL102,6,FALSE)="Finale","Finale",(StartNoA-1)+IF(VLOOKUP(TatA!M3,Tab!A71:BL102,6,FALSE)=0,0,VLOOKUP(TatA!M3,Tab!A71:BL102,6,FALSE)))</f>
        <v>12</v>
      </c>
      <c r="E113" s="31">
        <v>4</v>
      </c>
      <c r="F113" s="7"/>
      <c r="G113" s="7"/>
      <c r="H113" s="7"/>
      <c r="I113" s="20"/>
    </row>
    <row r="114" spans="1:9" ht="12.75">
      <c r="A114">
        <f t="shared" si="2"/>
      </c>
      <c r="B114" s="229">
        <f>IF(VLOOKUP(TatA!M3,Tab1,7,FALSE)=0,"",VLOOKUP(TatA!M3,Tab1,7,FALSE))</f>
      </c>
      <c r="C114" s="231">
        <f>IF(VLOOKUP(TatA!M3,Tab!A71:BL102,7,FALSE)="Finale","Finale",(StartNoA-1)+IF(VLOOKUP(TatA!M3,Tab!A71:BL102,7,FALSE)=0,0,VLOOKUP(TatA!M3,Tab!A71:BL102,7,FALSE)))</f>
        <v>12</v>
      </c>
      <c r="E114" s="31">
        <v>5</v>
      </c>
      <c r="F114" s="7" t="s">
        <v>39</v>
      </c>
      <c r="G114" s="7" t="s">
        <v>38</v>
      </c>
      <c r="H114" s="7"/>
      <c r="I114" s="20"/>
    </row>
    <row r="115" spans="1:9" ht="12.75">
      <c r="A115">
        <f t="shared" si="2"/>
      </c>
      <c r="B115" s="229">
        <f>IF(VLOOKUP(TatA!$M$3,Tab1,8,FALSE)=0,"",VLOOKUP(TatA!$M$3,Tab1,8,FALSE))</f>
      </c>
      <c r="C115" s="231">
        <f>IF(VLOOKUP(TatA!$M$3,Tab!$A$71:$BL$102,8,FALSE)="Finale","Finale",(StartNoA-1)+IF(VLOOKUP(TatA!$M$3,Tab!$A$71:$BL$102,8,FALSE)=0,0,VLOOKUP(TatA!$M$3,Tab!$A$71:$BL$102,8,FALSE)))</f>
        <v>12</v>
      </c>
      <c r="E115" s="31">
        <v>6</v>
      </c>
      <c r="F115" s="7" t="s">
        <v>39</v>
      </c>
      <c r="G115" s="7" t="s">
        <v>38</v>
      </c>
      <c r="H115" s="7"/>
      <c r="I115" s="20"/>
    </row>
    <row r="116" spans="1:9" ht="12.75">
      <c r="A116">
        <f t="shared" si="2"/>
      </c>
      <c r="B116" s="229">
        <f>IF(VLOOKUP(TatA!$M$3,Tab1,9,FALSE)=0,"",VLOOKUP(TatA!$M$3,Tab1,9,FALSE))</f>
      </c>
      <c r="C116" s="231">
        <f>IF(VLOOKUP(TatA!$M$3,Tab!$A$71:$BL$102,9,FALSE)="Finale","Finale",(StartNoA-1)+IF(VLOOKUP(TatA!$M$3,Tab!$A$71:$BL$102,9,FALSE)=0,0,VLOOKUP(TatA!$M$3,Tab!$A$71:$BL$102,9,FALSE)))</f>
        <v>12</v>
      </c>
      <c r="E116" s="31">
        <v>7</v>
      </c>
      <c r="F116" s="7" t="s">
        <v>38</v>
      </c>
      <c r="G116" s="7" t="s">
        <v>31</v>
      </c>
      <c r="H116" s="7" t="s">
        <v>33</v>
      </c>
      <c r="I116" s="20"/>
    </row>
    <row r="117" spans="1:9" ht="12.75">
      <c r="A117">
        <f t="shared" si="2"/>
      </c>
      <c r="B117" s="229">
        <f>IF(VLOOKUP(TatA!$M$3,Tab1,10,FALSE)=0,"",VLOOKUP(TatA!$M$3,Tab1,10,FALSE))</f>
      </c>
      <c r="C117" s="231">
        <f>IF(VLOOKUP(TatA!$M$3,Tab!$A$71:$BL$102,10,FALSE)="Finale","Finale",(StartNoA-1)+IF(VLOOKUP(TatA!$M$3,Tab!$A$71:$BL$102,10,FALSE)=0,0,VLOOKUP(TatA!$M$3,Tab!$A$71:$BL$102,10,FALSE)))</f>
        <v>12</v>
      </c>
      <c r="E117" s="31">
        <v>8</v>
      </c>
      <c r="F117" s="7" t="s">
        <v>31</v>
      </c>
      <c r="G117" s="7" t="s">
        <v>32</v>
      </c>
      <c r="H117" s="7"/>
      <c r="I117" s="20"/>
    </row>
    <row r="118" spans="1:9" ht="12.75">
      <c r="A118">
        <f t="shared" si="2"/>
      </c>
      <c r="B118" s="229">
        <f>IF(VLOOKUP(TatA!$M$3,Tab1,11,FALSE)=0,"",VLOOKUP(TatA!$M$3,Tab1,11,FALSE))</f>
      </c>
      <c r="C118" s="231">
        <f>IF(VLOOKUP(TatA!$M$3,Tab!$A$71:$BL$102,11,FALSE)="Finale","Finale",(StartNoA-1)+IF(VLOOKUP(TatA!$M$3,Tab!$A$71:$BL$102,11,FALSE)=0,0,VLOOKUP(TatA!$M$3,Tab!$A$71:$BL$102,11,FALSE)))</f>
        <v>12</v>
      </c>
      <c r="E118" s="31">
        <v>9</v>
      </c>
      <c r="F118" s="7" t="s">
        <v>33</v>
      </c>
      <c r="G118" s="7" t="s">
        <v>37</v>
      </c>
      <c r="H118" s="7" t="s">
        <v>12</v>
      </c>
      <c r="I118" s="20"/>
    </row>
    <row r="119" spans="1:9" ht="12.75">
      <c r="A119">
        <f t="shared" si="2"/>
      </c>
      <c r="B119" s="229">
        <f>IF(VLOOKUP(TatA!$M$3,Tab1,12,FALSE)=0,"",VLOOKUP(TatA!$M$3,Tab1,12,FALSE))</f>
      </c>
      <c r="C119" s="231">
        <f>IF(VLOOKUP(TatA!$M$3,Tab!$A$71:$BL$102,12,FALSE)="Finale","Finale",(StartNoA-1)+IF(VLOOKUP(TatA!$M$3,Tab!$A$71:$BL$102,12,FALSE)=0,0,VLOOKUP(TatA!$M$3,Tab!$A$71:$BL$102,12,FALSE)))</f>
        <v>12</v>
      </c>
      <c r="E119" s="31">
        <v>10</v>
      </c>
      <c r="F119" s="7" t="s">
        <v>31</v>
      </c>
      <c r="G119" s="7" t="s">
        <v>32</v>
      </c>
      <c r="H119" s="7" t="s">
        <v>30</v>
      </c>
      <c r="I119" s="20" t="s">
        <v>35</v>
      </c>
    </row>
    <row r="120" spans="1:9" ht="12.75">
      <c r="A120">
        <f t="shared" si="2"/>
      </c>
      <c r="B120" s="229">
        <f>IF(VLOOKUP(TatA!$M$3,Tab1,13,FALSE)=0,"",VLOOKUP(TatA!$M$3,Tab1,13,FALSE))</f>
      </c>
      <c r="C120" s="231">
        <f>IF(VLOOKUP(TatA!$M$3,Tab!$A$71:$BL$102,13,FALSE)="Finale","Finale",(StartNoA-1)+IF(VLOOKUP(TatA!$M$3,Tab!$A$71:$BL$102,13,FALSE)=0,0,VLOOKUP(TatA!$M$3,Tab!$A$71:$BL$102,13,FALSE)))</f>
        <v>12</v>
      </c>
      <c r="E120" s="31">
        <v>11</v>
      </c>
      <c r="F120" s="7" t="s">
        <v>32</v>
      </c>
      <c r="G120" s="7" t="s">
        <v>31</v>
      </c>
      <c r="H120" s="7" t="s">
        <v>33</v>
      </c>
      <c r="I120" s="20" t="s">
        <v>35</v>
      </c>
    </row>
    <row r="121" spans="1:9" ht="12.75">
      <c r="A121">
        <f t="shared" si="2"/>
      </c>
      <c r="B121" s="229">
        <f>IF(VLOOKUP(TatA!$M$3,Tab1,14,FALSE)=0,"",VLOOKUP(TatA!$M$3,Tab1,14,FALSE))</f>
      </c>
      <c r="C121" s="231">
        <f>IF(VLOOKUP(TatA!$M$3,Tab!$A$71:$BL$102,14,FALSE)="Finale","Finale",(StartNoA-1)+IF(VLOOKUP(TatA!$M$3,Tab!$A$71:$BL$102,14,FALSE)=0,0,VLOOKUP(TatA!$M$3,Tab!$A$71:$BL$102,14,FALSE)))</f>
        <v>12</v>
      </c>
      <c r="E121" s="31">
        <v>12</v>
      </c>
      <c r="F121" s="7" t="s">
        <v>31</v>
      </c>
      <c r="G121" s="7" t="s">
        <v>33</v>
      </c>
      <c r="H121" s="7" t="s">
        <v>32</v>
      </c>
      <c r="I121" s="20" t="s">
        <v>35</v>
      </c>
    </row>
    <row r="122" spans="1:9" ht="12.75">
      <c r="A122">
        <f t="shared" si="2"/>
      </c>
      <c r="B122" s="229">
        <f>IF(VLOOKUP(TatA!$M$3,Tab1,15,FALSE)=0,"",VLOOKUP(TatA!$M$3,Tab1,15,FALSE))</f>
      </c>
      <c r="C122" s="231">
        <f>IF(VLOOKUP(TatA!$M$3,Tab!$A$71:$BL$102,15,FALSE)="Finale","Finale",(StartNoA-1)+IF(VLOOKUP(TatA!$M$3,Tab!$A$71:$BL$102,15,FALSE)=0,0,VLOOKUP(TatA!$M$3,Tab!$A$71:$BL$102,15,FALSE)))</f>
        <v>12</v>
      </c>
      <c r="E122" s="31">
        <v>13</v>
      </c>
      <c r="F122" s="7" t="s">
        <v>31</v>
      </c>
      <c r="G122" s="7" t="s">
        <v>32</v>
      </c>
      <c r="H122" s="7" t="s">
        <v>33</v>
      </c>
      <c r="I122" s="20" t="s">
        <v>18</v>
      </c>
    </row>
    <row r="123" spans="1:9" ht="12.75">
      <c r="A123">
        <f t="shared" si="2"/>
      </c>
      <c r="B123" s="229">
        <f>IF(VLOOKUP(TatA!$M$3,Tab1,16,FALSE)=0,"",VLOOKUP(TatA!$M$3,Tab1,16,FALSE))</f>
      </c>
      <c r="C123" s="231">
        <f>IF(VLOOKUP(TatA!$M$3,Tab!$A$71:$BL$102,16,FALSE)="Finale","Finale",(StartNoA-1)+IF(VLOOKUP(TatA!$M$3,Tab!$A$71:$BL$102,16,FALSE)=0,0,VLOOKUP(TatA!$M$3,Tab!$A$71:$BL$102,16,FALSE)))</f>
        <v>12</v>
      </c>
      <c r="E123" s="31">
        <v>14</v>
      </c>
      <c r="F123" s="7" t="s">
        <v>31</v>
      </c>
      <c r="G123" s="7" t="s">
        <v>32</v>
      </c>
      <c r="H123" s="7" t="s">
        <v>103</v>
      </c>
      <c r="I123" s="20" t="s">
        <v>24</v>
      </c>
    </row>
    <row r="124" spans="1:9" ht="12.75">
      <c r="A124">
        <f t="shared" si="2"/>
      </c>
      <c r="B124" s="229">
        <f>IF(VLOOKUP(TatA!$M$3,Tab1,17,FALSE)=0,"",VLOOKUP(TatA!$M$3,Tab1,17,FALSE))</f>
      </c>
      <c r="C124" s="231">
        <f>IF(VLOOKUP(TatA!$M$3,Tab!$A$71:$BL$102,17,FALSE)="Finale","Finale",(StartNoA-1)+IF(VLOOKUP(TatA!$M$3,Tab!$A$71:$BL$102,17,FALSE)=0,0,VLOOKUP(TatA!$M$3,Tab!$A$71:$BL$102,17,FALSE)))</f>
        <v>12</v>
      </c>
      <c r="E124" s="31">
        <v>15</v>
      </c>
      <c r="F124" s="7" t="s">
        <v>30</v>
      </c>
      <c r="G124" s="7" t="s">
        <v>12</v>
      </c>
      <c r="H124" s="7" t="s">
        <v>18</v>
      </c>
      <c r="I124" s="20" t="s">
        <v>24</v>
      </c>
    </row>
    <row r="125" spans="1:9" ht="12.75">
      <c r="A125">
        <f t="shared" si="2"/>
      </c>
      <c r="B125" s="229">
        <f>IF(VLOOKUP(TatA!$M$3,Tab1,18,FALSE)=0,"",VLOOKUP(TatA!$M$3,Tab1,18,FALSE))</f>
      </c>
      <c r="C125" s="231">
        <f>IF(VLOOKUP(TatA!$M$3,Tab!$A$71:$BL$102,18,FALSE)="Finale","Finale",(StartNoA-1)+IF(VLOOKUP(TatA!$M$3,Tab!$A$71:$BL$102,18,FALSE)=0,0,VLOOKUP(TatA!$M$3,Tab!$A$71:$BL$102,18,FALSE)))</f>
        <v>12</v>
      </c>
      <c r="E125" s="31">
        <v>16</v>
      </c>
      <c r="F125" s="7" t="s">
        <v>12</v>
      </c>
      <c r="G125" s="7" t="s">
        <v>17</v>
      </c>
      <c r="H125" s="7" t="s">
        <v>18</v>
      </c>
      <c r="I125" s="20" t="s">
        <v>24</v>
      </c>
    </row>
    <row r="126" spans="1:9" ht="12.75">
      <c r="A126">
        <f t="shared" si="2"/>
      </c>
      <c r="B126" s="229">
        <f>IF(VLOOKUP(TatA!$M$3,Tab1,19,FALSE)=0,"",VLOOKUP(TatA!$M$3,Tab1,19,FALSE))</f>
      </c>
      <c r="C126" s="231">
        <f>IF(VLOOKUP(TatA!$M$3,Tab!$A$71:$BL$102,19,FALSE)="Finale","Finale",(StartNoA-1)+IF(VLOOKUP(TatA!$M$3,Tab!$A$71:$BL$102,19,FALSE)=0,0,VLOOKUP(TatA!$M$3,Tab!$A$71:$BL$102,19,FALSE)))</f>
        <v>12</v>
      </c>
      <c r="E126" s="31">
        <v>17</v>
      </c>
      <c r="F126" s="7" t="s">
        <v>12</v>
      </c>
      <c r="G126" s="7" t="s">
        <v>17</v>
      </c>
      <c r="H126" s="7" t="s">
        <v>18</v>
      </c>
      <c r="I126" s="20" t="s">
        <v>24</v>
      </c>
    </row>
    <row r="127" spans="1:9" ht="12.75">
      <c r="A127">
        <f t="shared" si="2"/>
      </c>
      <c r="B127" s="229">
        <f>IF(VLOOKUP(TatA!$M$3,Tab1,20,FALSE)=0,"",VLOOKUP(TatA!$M$3,Tab1,20,FALSE))</f>
      </c>
      <c r="C127" s="231">
        <f>IF(VLOOKUP(TatA!$M$3,Tab!$A$71:$BL$102,20,FALSE)="Finale","Finale",(StartNoA-1)+IF(VLOOKUP(TatA!$M$3,Tab!$A$71:$BL$102,20,FALSE)=0,0,VLOOKUP(TatA!$M$3,Tab!$A$71:$BL$102,20,FALSE)))</f>
        <v>12</v>
      </c>
      <c r="E127" s="31">
        <v>18</v>
      </c>
      <c r="F127" s="7" t="s">
        <v>12</v>
      </c>
      <c r="G127" s="7" t="s">
        <v>17</v>
      </c>
      <c r="H127" s="7" t="s">
        <v>18</v>
      </c>
      <c r="I127" s="20" t="s">
        <v>24</v>
      </c>
    </row>
    <row r="128" spans="1:9" ht="12.75">
      <c r="A128">
        <f t="shared" si="2"/>
      </c>
      <c r="B128" s="229">
        <f>IF(VLOOKUP(TatA!$M$3,Tab1,21,FALSE)=0,"",VLOOKUP(TatA!$M$3,Tab1,21,FALSE))</f>
      </c>
      <c r="C128" s="231">
        <f>IF(VLOOKUP(TatA!$M$3,Tab!$A$71:$BL$102,21,FALSE)="Finale","Finale",(StartNoA-1)+IF(VLOOKUP(TatA!$M$3,Tab!$A$71:$BL$102,21,FALSE)=0,0,VLOOKUP(TatA!$M$3,Tab!$A$71:$BL$102,21,FALSE)))</f>
        <v>12</v>
      </c>
      <c r="E128" s="31">
        <v>19</v>
      </c>
      <c r="F128" s="7" t="s">
        <v>12</v>
      </c>
      <c r="G128" s="7" t="s">
        <v>17</v>
      </c>
      <c r="H128" s="7" t="s">
        <v>18</v>
      </c>
      <c r="I128" s="20" t="s">
        <v>24</v>
      </c>
    </row>
    <row r="129" spans="1:9" ht="12.75">
      <c r="A129">
        <f t="shared" si="2"/>
      </c>
      <c r="B129" s="229">
        <f>IF(VLOOKUP(TatA!$M$3,Tab1,22,FALSE)=0,"",VLOOKUP(TatA!$M$3,Tab1,22,FALSE))</f>
      </c>
      <c r="C129" s="231">
        <f>IF(VLOOKUP(TatA!$M$3,Tab!$A$71:$BL$102,22,FALSE)="Finale","Finale",(StartNoA-1)+IF(VLOOKUP(TatA!$M$3,Tab!$A$71:$BL$102,22,FALSE)=0,0,VLOOKUP(TatA!$M$3,Tab!$A$71:$BL$102,22,FALSE)))</f>
        <v>12</v>
      </c>
      <c r="E129" s="31">
        <v>20</v>
      </c>
      <c r="F129" s="7" t="s">
        <v>12</v>
      </c>
      <c r="G129" s="7" t="s">
        <v>17</v>
      </c>
      <c r="H129" s="7" t="s">
        <v>18</v>
      </c>
      <c r="I129" s="20" t="s">
        <v>24</v>
      </c>
    </row>
    <row r="130" spans="1:9" ht="12.75">
      <c r="A130">
        <f t="shared" si="2"/>
      </c>
      <c r="B130" s="229">
        <f>IF(VLOOKUP(TatA!$M$3,Tab1,23,FALSE)=0,"",VLOOKUP(TatA!$M$3,Tab1,23,FALSE))</f>
      </c>
      <c r="C130" s="231">
        <f>IF(VLOOKUP(TatA!$M$3,Tab!$A$71:$BL$102,23,FALSE)="Finale","Finale",(StartNoA-1)+IF(VLOOKUP(TatA!$M$3,Tab!$A$71:$BL$102,23,FALSE)=0,0,VLOOKUP(TatA!$M$3,Tab!$A$71:$BL$102,23,FALSE)))</f>
        <v>12</v>
      </c>
      <c r="E130" s="31">
        <v>21</v>
      </c>
      <c r="F130" s="7" t="s">
        <v>12</v>
      </c>
      <c r="G130" s="7" t="s">
        <v>17</v>
      </c>
      <c r="H130" s="7" t="s">
        <v>18</v>
      </c>
      <c r="I130" s="20" t="s">
        <v>24</v>
      </c>
    </row>
    <row r="131" spans="1:9" ht="13.5" thickBot="1">
      <c r="A131">
        <f t="shared" si="2"/>
      </c>
      <c r="B131" s="229">
        <f>IF(VLOOKUP(TatA!$M$3,Tab1,24,FALSE)=0,"",VLOOKUP(TatA!$M$3,Tab1,24,FALSE))</f>
      </c>
      <c r="C131" s="231">
        <f>IF(VLOOKUP(TatA!$M$3,Tab!$A$71:$BL$102,24,FALSE)="Finale","Finale",(StartNoA-1)+IF(VLOOKUP(TatA!$M$3,Tab!$A$71:$BL$102,24,FALSE)=0,0,VLOOKUP(TatA!$M$3,Tab!$A$71:$BL$102,24,FALSE)))</f>
        <v>12</v>
      </c>
      <c r="E131" s="36">
        <v>22</v>
      </c>
      <c r="F131" s="38" t="s">
        <v>12</v>
      </c>
      <c r="G131" s="38" t="s">
        <v>17</v>
      </c>
      <c r="H131" s="38" t="s">
        <v>18</v>
      </c>
      <c r="I131" s="30" t="s">
        <v>24</v>
      </c>
    </row>
    <row r="132" spans="1:3" ht="12.75">
      <c r="A132">
        <f t="shared" si="2"/>
      </c>
      <c r="B132" s="229">
        <f>IF(VLOOKUP(TatA!$M$3,Tab1,25,FALSE)=0,"",VLOOKUP(TatA!$M$3,Tab1,25,FALSE))</f>
      </c>
      <c r="C132" s="231">
        <f>IF(VLOOKUP(TatA!$M$3,Tab!$A$71:$BL$102,25,FALSE)="Finale","Finale",(StartNoA-1)+IF(VLOOKUP(TatA!$M$3,Tab!$A$71:$BL$102,25,FALSE)=0,0,VLOOKUP(TatA!$M$3,Tab!$A$71:$BL$102,25,FALSE)))</f>
        <v>12</v>
      </c>
    </row>
    <row r="133" spans="1:3" ht="13.5" thickBot="1">
      <c r="A133">
        <f t="shared" si="2"/>
      </c>
      <c r="B133" s="229">
        <f>IF(VLOOKUP(TatA!$M$3,Tab1,26,FALSE)=0,"",VLOOKUP(TatA!$M$3,Tab1,26,FALSE))</f>
      </c>
      <c r="C133" s="231">
        <f>IF(VLOOKUP(TatA!$M$3,Tab!$A$71:$BL$102,26,FALSE)="Finale","Finale",(StartNoA-1)+IF(VLOOKUP(TatA!$M$3,Tab!$A$71:$BL$102,26,FALSE)=0,0,VLOOKUP(TatA!$M$3,Tab!$A$71:$BL$102,26,FALSE)))</f>
        <v>12</v>
      </c>
    </row>
    <row r="134" spans="1:7" ht="12.75">
      <c r="A134">
        <f t="shared" si="2"/>
      </c>
      <c r="B134" s="229">
        <f>IF(VLOOKUP(TatA!$M$3,Tab1,27,FALSE)=0,"",VLOOKUP(TatA!$M$3,Tab1,27,FALSE))</f>
      </c>
      <c r="C134" s="231">
        <f>IF(VLOOKUP(TatA!$M$3,Tab!$A$71:$BL$102,27,FALSE)="Finale","Finale",(StartNoA-1)+IF(VLOOKUP(TatA!$M$3,Tab!$A$71:$BL$102,27,FALSE)=0,0,VLOOKUP(TatA!$M$3,Tab!$A$71:$BL$102,27,FALSE)))</f>
        <v>12</v>
      </c>
      <c r="E134" s="223" t="s">
        <v>27</v>
      </c>
      <c r="F134" s="298">
        <v>1</v>
      </c>
      <c r="G134" s="224">
        <v>1</v>
      </c>
    </row>
    <row r="135" spans="1:7" ht="12.75">
      <c r="A135">
        <f t="shared" si="2"/>
      </c>
      <c r="B135" s="229">
        <f>IF(VLOOKUP(TatA!$M$3,Tab1,28,FALSE)=0,"",VLOOKUP(TatA!$M$3,Tab1,28,FALSE))</f>
      </c>
      <c r="C135" s="231">
        <f>IF(VLOOKUP(TatA!$M$3,Tab!$A$71:$BL$102,28,FALSE)="Finale","Finale",(StartNoA-1)+IF(VLOOKUP(TatA!$M$3,Tab!$A$71:$BL$102,28,FALSE)=0,0,VLOOKUP(TatA!$M$3,Tab!$A$71:$BL$102,28,FALSE)))</f>
        <v>12</v>
      </c>
      <c r="E135" s="225" t="s">
        <v>173</v>
      </c>
      <c r="F135" s="299">
        <v>1</v>
      </c>
      <c r="G135" s="226">
        <v>2</v>
      </c>
    </row>
    <row r="136" spans="1:7" ht="12.75">
      <c r="A136">
        <f t="shared" si="2"/>
      </c>
      <c r="B136" s="229">
        <f>IF(VLOOKUP(TatA!$M$3,Tab1,29,FALSE)=0,"",VLOOKUP(TatA!$M$3,Tab1,29,FALSE))</f>
      </c>
      <c r="C136" s="231">
        <f>IF(VLOOKUP(TatA!$M$3,Tab!$A$71:$BL$102,29,FALSE)="Finale","Finale",(StartNoA-1)+IF(VLOOKUP(TatA!$M$3,Tab!$A$71:$BL$102,29,FALSE)=0,0,VLOOKUP(TatA!$M$3,Tab!$A$71:$BL$102,29,FALSE)))</f>
        <v>12</v>
      </c>
      <c r="E136" s="225" t="s">
        <v>174</v>
      </c>
      <c r="F136" s="299">
        <v>1</v>
      </c>
      <c r="G136" s="226">
        <v>3</v>
      </c>
    </row>
    <row r="137" spans="1:7" ht="12.75">
      <c r="A137">
        <f t="shared" si="2"/>
      </c>
      <c r="B137" s="229">
        <f>IF(VLOOKUP(TatA!$M$3,Tab1,30,FALSE)=0,"",VLOOKUP(TatA!$M$3,Tab1,30,FALSE))</f>
      </c>
      <c r="C137" s="231">
        <f>IF(VLOOKUP(TatA!$M$3,Tab!$A$71:$BL$102,30,FALSE)="Finale","Finale",(StartNoA-1)+IF(VLOOKUP(TatA!$M$3,Tab!$A$71:$BL$102,30,FALSE)=0,0,VLOOKUP(TatA!$M$3,Tab!$A$71:$BL$102,30,FALSE)))</f>
        <v>12</v>
      </c>
      <c r="E137" s="225" t="s">
        <v>155</v>
      </c>
      <c r="F137" s="299">
        <v>1</v>
      </c>
      <c r="G137" s="226">
        <v>4</v>
      </c>
    </row>
    <row r="138" spans="1:7" ht="12.75">
      <c r="A138">
        <f t="shared" si="2"/>
      </c>
      <c r="B138" s="229">
        <f>IF(VLOOKUP(TatA!$M$3,Tab1,31,FALSE)=0,"",VLOOKUP(TatA!$M$3,Tab1,31,FALSE))</f>
      </c>
      <c r="C138" s="231">
        <f>IF(VLOOKUP(TatA!$M$3,Tab!$A$71:$BL$102,31,FALSE)="Finale","Finale",(StartNoA-1)+IF(VLOOKUP(TatA!$M$3,Tab!$A$71:$BL$102,31,FALSE)=0,0,VLOOKUP(TatA!$M$3,Tab!$A$71:$BL$102,31,FALSE)))</f>
        <v>12</v>
      </c>
      <c r="E138" s="225" t="s">
        <v>160</v>
      </c>
      <c r="F138" s="299">
        <v>0</v>
      </c>
      <c r="G138" s="226">
        <v>5</v>
      </c>
    </row>
    <row r="139" spans="1:7" ht="12.75">
      <c r="A139">
        <f t="shared" si="2"/>
      </c>
      <c r="B139" s="229">
        <f>IF(VLOOKUP(TatA!$M$3,Tab1,32,FALSE)=0,"",VLOOKUP(TatA!$M$3,Tab1,32,FALSE))</f>
      </c>
      <c r="C139" s="231">
        <f>IF(VLOOKUP(TatA!$M$3,Tab!$A$71:$BL$102,32,FALSE)="Finale","Finale",(StartNoA-1)+IF(VLOOKUP(TatA!$M$3,Tab!$A$71:$BL$102,32,FALSE)=0,0,VLOOKUP(TatA!$M$3,Tab!$A$71:$BL$102,32,FALSE)))</f>
        <v>12</v>
      </c>
      <c r="E139" s="225" t="s">
        <v>175</v>
      </c>
      <c r="F139" s="299">
        <v>2</v>
      </c>
      <c r="G139" s="226">
        <v>4</v>
      </c>
    </row>
    <row r="140" spans="1:7" ht="12.75">
      <c r="A140">
        <f>IF(B140&lt;&gt;"",1+A128,"")</f>
      </c>
      <c r="B140" s="229">
        <f>IF(VLOOKUP(TatA!$M$3,Tab1,33,FALSE)=0,"",VLOOKUP(TatA!$M$3,Tab1,33,FALSE))</f>
      </c>
      <c r="C140" s="231">
        <f>IF(VLOOKUP(TatA!$M$3,Tab!$A$71:$BL$102,33,FALSE)="Finale","Finale",(StartNoA-1)+IF(VLOOKUP(TatA!$M$3,Tab!$A$71:$BL$102,33,FALSE)=0,0,VLOOKUP(TatA!$M$3,Tab!$A$71:$BL$102,33,FALSE)))</f>
        <v>12</v>
      </c>
      <c r="E140" s="225" t="s">
        <v>176</v>
      </c>
      <c r="F140" s="299">
        <v>2</v>
      </c>
      <c r="G140" s="226">
        <v>3</v>
      </c>
    </row>
    <row r="141" spans="1:7" ht="12.75">
      <c r="A141">
        <f aca="true" t="shared" si="3" ref="A141:A147">IF(B141&lt;&gt;"",1+A140,"")</f>
      </c>
      <c r="B141" s="229">
        <f>IF(VLOOKUP(TatA!$M$3,Tab1,34,FALSE)=0,"",VLOOKUP(TatA!$M$3,Tab1,34,FALSE))</f>
      </c>
      <c r="C141" s="231">
        <f>IF(VLOOKUP(TatA!$M$3,Tab!$A$71:$BL$102,34,FALSE)="Finale","Finale",(StartNoA-1)+IF(VLOOKUP(TatA!$M$3,Tab!$A$71:$BL$102,34,FALSE)=0,0,VLOOKUP(TatA!$M$3,Tab!$A$71:$BL$102,34,FALSE)))</f>
        <v>12</v>
      </c>
      <c r="E141" s="225" t="s">
        <v>177</v>
      </c>
      <c r="F141" s="299">
        <v>2</v>
      </c>
      <c r="G141" s="226">
        <v>2</v>
      </c>
    </row>
    <row r="142" spans="1:7" ht="13.5" thickBot="1">
      <c r="A142">
        <f t="shared" si="3"/>
      </c>
      <c r="B142" s="232">
        <f>IF(VLOOKUP(TatA!$M$3,Tab1,35,FALSE)=0,"",VLOOKUP(TatA!$M$3,Tab1,35,FALSE))</f>
      </c>
      <c r="C142" s="231">
        <f>IF(VLOOKUP(TatA!$M$3,Tab!$A$71:$BL$102,35,FALSE)="Finale","Finale",(StartNoA-1)+IF(VLOOKUP(TatA!$M$3,Tab!$A$71:$BL$102,35,FALSE)=0,0,VLOOKUP(TatA!$M$3,Tab!$A$71:$BL$102,35,FALSE)))</f>
        <v>12</v>
      </c>
      <c r="E142" s="227" t="s">
        <v>178</v>
      </c>
      <c r="F142" s="300">
        <v>2</v>
      </c>
      <c r="G142" s="228">
        <v>1</v>
      </c>
    </row>
    <row r="143" spans="1:3" ht="12.75">
      <c r="A143">
        <v>24</v>
      </c>
      <c r="B143" s="229">
        <f>IF(VLOOKUP(TatA!$M$3,Tab1,36,FALSE)=0,"",VLOOKUP(TatA!$M$3,Tab1,36,FALSE))</f>
      </c>
      <c r="C143" s="231">
        <f>IF(VLOOKUP(TatA!$M$3,Tab!$A$71:$BL$102,36,FALSE)="Finale","Finale",(StartNoA-1)+IF(VLOOKUP(TatA!$M$3,Tab!$A$71:$BL$102,36,FALSE)=0,0,VLOOKUP(TatA!$M$3,Tab!$A$71:$BL$102,36,FALSE)))</f>
        <v>12</v>
      </c>
    </row>
    <row r="144" spans="1:3" ht="12.75">
      <c r="A144">
        <f t="shared" si="3"/>
      </c>
      <c r="B144" s="229">
        <f>IF(VLOOKUP(TatA!$M$3,Tab1,37,FALSE)=0,"",VLOOKUP(TatA!$M$3,Tab1,37,FALSE))</f>
      </c>
      <c r="C144" s="231">
        <f>IF(VLOOKUP(TatA!$M$3,Tab!$A$71:$BL$102,37,FALSE)="Finale","Finale",(StartNoA-1)+IF(VLOOKUP(TatA!$M$3,Tab!$A$71:$BL$102,37,FALSE)=0,0,VLOOKUP(TatA!$M$3,Tab!$A$71:$BL$102,37,FALSE)))</f>
        <v>12</v>
      </c>
    </row>
    <row r="145" spans="1:3" ht="12.75">
      <c r="A145">
        <f t="shared" si="3"/>
      </c>
      <c r="B145" s="229">
        <f>IF(VLOOKUP(TatA!$M$3,Tab1,38,FALSE)=0,"",VLOOKUP(TatA!$M$3,Tab1,38,FALSE))</f>
      </c>
      <c r="C145" s="231">
        <f>IF(VLOOKUP(TatA!$M$3,Tab!$A$71:$BL$102,38,FALSE)="Finale","Finale",(StartNoA-1)+IF(VLOOKUP(TatA!$M$3,Tab!$A$71:$BL$102,38,FALSE)=0,0,VLOOKUP(TatA!$M$3,Tab!$A$71:$BL$102,38,FALSE)))</f>
        <v>12</v>
      </c>
    </row>
    <row r="146" spans="1:3" ht="12.75">
      <c r="A146">
        <v>25</v>
      </c>
      <c r="B146" s="229">
        <f>IF(VLOOKUP(TatA!$M$3,Tab1,39,FALSE)=0,"",VLOOKUP(TatA!$M$3,Tab1,39,FALSE))</f>
      </c>
      <c r="C146" s="231">
        <f>IF(VLOOKUP(TatA!$M$3,Tab!$A$71:$BL$102,39,FALSE)="Finale","Finale",(StartNoA-1)+IF(VLOOKUP(TatA!$M$3,Tab!$A$71:$BL$102,39,FALSE)=0,0,VLOOKUP(TatA!$M$3,Tab!$A$71:$BL$102,39,FALSE)))</f>
        <v>12</v>
      </c>
    </row>
    <row r="147" spans="1:3" ht="12.75">
      <c r="A147">
        <f t="shared" si="3"/>
      </c>
      <c r="B147" s="229">
        <f>IF(VLOOKUP(TatA!$M$3,Tab1,40,FALSE)=0,"",VLOOKUP(TatA!$M$3,Tab1,40,FALSE))</f>
      </c>
      <c r="C147" s="231">
        <f>IF(VLOOKUP(TatA!$M$3,Tab!$A$71:$BL$102,40,FALSE)="Finale","Finale",(StartNoA-1)+IF(VLOOKUP(TatA!$M$3,Tab!$A$71:$BL$102,40,FALSE)=0,0,VLOOKUP(TatA!$M$3,Tab!$A$71:$BL$102,40,FALSE)))</f>
        <v>12</v>
      </c>
    </row>
    <row r="148" spans="2:3" ht="12.75">
      <c r="B148" s="229"/>
      <c r="C148" s="231"/>
    </row>
    <row r="149" spans="2:3" ht="12.75">
      <c r="B149" s="229"/>
      <c r="C149" s="231"/>
    </row>
    <row r="150" spans="2:3" ht="12.75">
      <c r="B150" s="229"/>
      <c r="C150" s="231"/>
    </row>
    <row r="151" spans="2:3" ht="12.75">
      <c r="B151" s="229"/>
      <c r="C151" s="231"/>
    </row>
    <row r="152" spans="2:3" ht="12.75">
      <c r="B152" s="229"/>
      <c r="C152" s="231"/>
    </row>
    <row r="153" spans="2:3" ht="12.75">
      <c r="B153" s="232"/>
      <c r="C153" s="231"/>
    </row>
    <row r="155" ht="12.75">
      <c r="B155" s="233">
        <f>MAX(A109:A152)</f>
        <v>25</v>
      </c>
    </row>
    <row r="156" ht="12.75">
      <c r="I156" t="str">
        <f>RIGHT(HjHoved!A36,1)</f>
        <v>B</v>
      </c>
    </row>
    <row r="157" spans="2:3" ht="12.75">
      <c r="B157" s="419" t="s">
        <v>180</v>
      </c>
      <c r="C157" s="419"/>
    </row>
    <row r="158" spans="2:9" ht="13.5" thickBot="1">
      <c r="B158" s="3" t="s">
        <v>170</v>
      </c>
      <c r="D158" s="8" t="s">
        <v>181</v>
      </c>
      <c r="G158" t="s">
        <v>169</v>
      </c>
      <c r="H158" t="s">
        <v>57</v>
      </c>
      <c r="I158" t="s">
        <v>226</v>
      </c>
    </row>
    <row r="159" spans="2:9" ht="12.75">
      <c r="B159" s="312">
        <v>0.2916666666666667</v>
      </c>
      <c r="C159" s="307">
        <v>0.5</v>
      </c>
      <c r="D159" s="314">
        <v>0</v>
      </c>
      <c r="F159" s="16">
        <v>0</v>
      </c>
      <c r="G159" s="278">
        <f>TimeScedule!D3</f>
        <v>0.5</v>
      </c>
      <c r="H159" s="279">
        <f>TimeScedule!J37</f>
        <v>0.5888888888888889</v>
      </c>
      <c r="I159" s="279">
        <f>IF(I156="A",StartBrA,IF(I156="B",StartBrB,IF(I156="C",StartBrC)))</f>
        <v>0.5722222222222222</v>
      </c>
    </row>
    <row r="160" spans="2:9" ht="12.75">
      <c r="B160" s="308">
        <v>0.3020833333333333</v>
      </c>
      <c r="C160" s="309">
        <v>1</v>
      </c>
      <c r="D160" s="315">
        <v>0.0006944444444444445</v>
      </c>
      <c r="F160" s="12">
        <v>1</v>
      </c>
      <c r="G160" s="280">
        <f>G159</f>
        <v>0.5</v>
      </c>
      <c r="H160" s="281">
        <f>H159</f>
        <v>0.5888888888888889</v>
      </c>
      <c r="I160" s="281">
        <f>I159</f>
        <v>0.5722222222222222</v>
      </c>
    </row>
    <row r="161" spans="2:9" ht="12.75">
      <c r="B161" s="308">
        <v>0.3125</v>
      </c>
      <c r="C161" s="309">
        <v>1.5</v>
      </c>
      <c r="D161" s="315">
        <v>0.001388888888888889</v>
      </c>
      <c r="F161" s="12">
        <v>2</v>
      </c>
      <c r="G161" s="280">
        <f aca="true" t="shared" si="4" ref="G161:G192">G160+MatchTimeO</f>
        <v>0.5055555555555555</v>
      </c>
      <c r="H161" s="280">
        <f aca="true" t="shared" si="5" ref="H161:H192">H160+MatchTimeF</f>
        <v>0.5965277777777778</v>
      </c>
      <c r="I161" s="280">
        <f aca="true" t="shared" si="6" ref="I161:I192">IF(MatchTimeB="","",I160+MatchTimeB)</f>
        <v>0.5777777777777777</v>
      </c>
    </row>
    <row r="162" spans="2:9" ht="12.75">
      <c r="B162" s="308">
        <v>0.322916666666667</v>
      </c>
      <c r="C162" s="309">
        <v>2</v>
      </c>
      <c r="D162" s="315">
        <v>0.00208333333333333</v>
      </c>
      <c r="F162" s="12">
        <v>3</v>
      </c>
      <c r="G162" s="280">
        <f t="shared" si="4"/>
        <v>0.5111111111111111</v>
      </c>
      <c r="H162" s="280">
        <f t="shared" si="5"/>
        <v>0.6041666666666666</v>
      </c>
      <c r="I162" s="280">
        <f t="shared" si="6"/>
        <v>0.5833333333333333</v>
      </c>
    </row>
    <row r="163" spans="2:9" ht="12.75">
      <c r="B163" s="308">
        <v>0.333333333333333</v>
      </c>
      <c r="C163" s="309">
        <v>2.5</v>
      </c>
      <c r="D163" s="315">
        <v>0.00277777777777777</v>
      </c>
      <c r="F163" s="12">
        <v>4</v>
      </c>
      <c r="G163" s="280">
        <f t="shared" si="4"/>
        <v>0.5166666666666666</v>
      </c>
      <c r="H163" s="280">
        <f t="shared" si="5"/>
        <v>0.6118055555555555</v>
      </c>
      <c r="I163" s="280">
        <f t="shared" si="6"/>
        <v>0.5888888888888888</v>
      </c>
    </row>
    <row r="164" spans="2:9" ht="12.75">
      <c r="B164" s="308">
        <v>0.34375</v>
      </c>
      <c r="C164" s="309">
        <v>3</v>
      </c>
      <c r="D164" s="315">
        <v>0.00347222222222222</v>
      </c>
      <c r="F164" s="12">
        <v>5</v>
      </c>
      <c r="G164" s="280">
        <f t="shared" si="4"/>
        <v>0.5222222222222221</v>
      </c>
      <c r="H164" s="280">
        <f t="shared" si="5"/>
        <v>0.6194444444444444</v>
      </c>
      <c r="I164" s="280">
        <f t="shared" si="6"/>
        <v>0.5944444444444443</v>
      </c>
    </row>
    <row r="165" spans="2:9" ht="12.75">
      <c r="B165" s="308">
        <v>0.354166666666666</v>
      </c>
      <c r="C165" s="309">
        <v>3.5</v>
      </c>
      <c r="D165" s="315">
        <v>0.00416666666666666</v>
      </c>
      <c r="F165" s="12">
        <v>6</v>
      </c>
      <c r="G165" s="280">
        <f t="shared" si="4"/>
        <v>0.5277777777777777</v>
      </c>
      <c r="H165" s="280">
        <f t="shared" si="5"/>
        <v>0.6270833333333332</v>
      </c>
      <c r="I165" s="280">
        <f t="shared" si="6"/>
        <v>0.5999999999999999</v>
      </c>
    </row>
    <row r="166" spans="2:9" ht="12.75">
      <c r="B166" s="308">
        <v>0.364583333333333</v>
      </c>
      <c r="C166" s="309">
        <v>4</v>
      </c>
      <c r="D166" s="315">
        <v>0.00486111111111111</v>
      </c>
      <c r="F166" s="12">
        <v>7</v>
      </c>
      <c r="G166" s="280">
        <f t="shared" si="4"/>
        <v>0.5333333333333332</v>
      </c>
      <c r="H166" s="280">
        <f t="shared" si="5"/>
        <v>0.6347222222222221</v>
      </c>
      <c r="I166" s="280">
        <f t="shared" si="6"/>
        <v>0.6055555555555554</v>
      </c>
    </row>
    <row r="167" spans="2:9" ht="12.75">
      <c r="B167" s="308">
        <v>0.375</v>
      </c>
      <c r="C167" s="309">
        <v>4.5</v>
      </c>
      <c r="D167" s="315">
        <v>0.00555555555555555</v>
      </c>
      <c r="F167" s="12">
        <v>8</v>
      </c>
      <c r="G167" s="280">
        <f t="shared" si="4"/>
        <v>0.5388888888888888</v>
      </c>
      <c r="H167" s="280">
        <f t="shared" si="5"/>
        <v>0.6423611111111109</v>
      </c>
      <c r="I167" s="280">
        <f t="shared" si="6"/>
        <v>0.6111111111111109</v>
      </c>
    </row>
    <row r="168" spans="2:9" ht="12.75">
      <c r="B168" s="308">
        <v>0.385416666666666</v>
      </c>
      <c r="C168" s="309">
        <v>5</v>
      </c>
      <c r="D168" s="315">
        <v>0.00625</v>
      </c>
      <c r="F168" s="12">
        <v>9</v>
      </c>
      <c r="G168" s="280">
        <f t="shared" si="4"/>
        <v>0.5444444444444443</v>
      </c>
      <c r="H168" s="280">
        <f t="shared" si="5"/>
        <v>0.6499999999999998</v>
      </c>
      <c r="I168" s="280">
        <f t="shared" si="6"/>
        <v>0.6166666666666665</v>
      </c>
    </row>
    <row r="169" spans="2:9" ht="12.75">
      <c r="B169" s="308">
        <v>0.395833333333333</v>
      </c>
      <c r="C169" s="309">
        <v>5.5</v>
      </c>
      <c r="D169" s="315">
        <v>0.00694444444444444</v>
      </c>
      <c r="F169" s="12">
        <v>10</v>
      </c>
      <c r="G169" s="280">
        <f t="shared" si="4"/>
        <v>0.5499999999999998</v>
      </c>
      <c r="H169" s="280">
        <f t="shared" si="5"/>
        <v>0.6576388888888887</v>
      </c>
      <c r="I169" s="280">
        <f t="shared" si="6"/>
        <v>0.622222222222222</v>
      </c>
    </row>
    <row r="170" spans="2:9" ht="12.75">
      <c r="B170" s="308">
        <v>0.40625</v>
      </c>
      <c r="C170" s="309">
        <v>6</v>
      </c>
      <c r="D170" s="315">
        <v>0.00763888888888888</v>
      </c>
      <c r="F170" s="12">
        <v>11</v>
      </c>
      <c r="G170" s="280">
        <f t="shared" si="4"/>
        <v>0.5555555555555554</v>
      </c>
      <c r="H170" s="280">
        <f t="shared" si="5"/>
        <v>0.6652777777777775</v>
      </c>
      <c r="I170" s="280">
        <f t="shared" si="6"/>
        <v>0.6277777777777775</v>
      </c>
    </row>
    <row r="171" spans="2:9" ht="12.75">
      <c r="B171" s="308">
        <v>0.416666666666667</v>
      </c>
      <c r="C171" s="309">
        <v>6.5</v>
      </c>
      <c r="D171" s="315">
        <v>0.00833333333333333</v>
      </c>
      <c r="F171" s="12">
        <v>12</v>
      </c>
      <c r="G171" s="280">
        <f t="shared" si="4"/>
        <v>0.5611111111111109</v>
      </c>
      <c r="H171" s="280">
        <f t="shared" si="5"/>
        <v>0.6729166666666664</v>
      </c>
      <c r="I171" s="280">
        <f t="shared" si="6"/>
        <v>0.6333333333333331</v>
      </c>
    </row>
    <row r="172" spans="2:9" ht="12.75">
      <c r="B172" s="308">
        <v>0.427083333333333</v>
      </c>
      <c r="C172" s="309">
        <v>7</v>
      </c>
      <c r="D172" s="315">
        <v>0.00902777777777777</v>
      </c>
      <c r="F172" s="12">
        <v>13</v>
      </c>
      <c r="G172" s="280">
        <f t="shared" si="4"/>
        <v>0.5666666666666664</v>
      </c>
      <c r="H172" s="280">
        <f t="shared" si="5"/>
        <v>0.6805555555555552</v>
      </c>
      <c r="I172" s="280">
        <f t="shared" si="6"/>
        <v>0.6388888888888886</v>
      </c>
    </row>
    <row r="173" spans="2:9" ht="12.75">
      <c r="B173" s="308">
        <v>0.4375</v>
      </c>
      <c r="C173" s="309">
        <v>7.5</v>
      </c>
      <c r="D173" s="315">
        <v>0.00972222222222222</v>
      </c>
      <c r="F173" s="12">
        <v>14</v>
      </c>
      <c r="G173" s="280">
        <f t="shared" si="4"/>
        <v>0.572222222222222</v>
      </c>
      <c r="H173" s="280">
        <f t="shared" si="5"/>
        <v>0.6881944444444441</v>
      </c>
      <c r="I173" s="280">
        <f t="shared" si="6"/>
        <v>0.6444444444444442</v>
      </c>
    </row>
    <row r="174" spans="2:9" ht="12.75">
      <c r="B174" s="308">
        <v>0.447916666666666</v>
      </c>
      <c r="C174" s="309">
        <v>8</v>
      </c>
      <c r="D174" s="315">
        <v>0.0104166666666667</v>
      </c>
      <c r="F174" s="12">
        <v>15</v>
      </c>
      <c r="G174" s="280">
        <f t="shared" si="4"/>
        <v>0.5777777777777775</v>
      </c>
      <c r="H174" s="280">
        <f t="shared" si="5"/>
        <v>0.695833333333333</v>
      </c>
      <c r="I174" s="280">
        <f t="shared" si="6"/>
        <v>0.6499999999999997</v>
      </c>
    </row>
    <row r="175" spans="2:9" ht="12.75">
      <c r="B175" s="308">
        <v>0.458333333333333</v>
      </c>
      <c r="C175" s="309">
        <v>8.5</v>
      </c>
      <c r="D175" s="315">
        <v>0.0111111111111111</v>
      </c>
      <c r="F175" s="12">
        <v>16</v>
      </c>
      <c r="G175" s="280">
        <f t="shared" si="4"/>
        <v>0.583333333333333</v>
      </c>
      <c r="H175" s="280">
        <f t="shared" si="5"/>
        <v>0.7034722222222218</v>
      </c>
      <c r="I175" s="280">
        <f t="shared" si="6"/>
        <v>0.6555555555555552</v>
      </c>
    </row>
    <row r="176" spans="2:9" ht="12.75">
      <c r="B176" s="308">
        <v>0.46875</v>
      </c>
      <c r="C176" s="309">
        <v>9</v>
      </c>
      <c r="D176" s="315">
        <v>0.0118055555555555</v>
      </c>
      <c r="F176" s="12">
        <v>17</v>
      </c>
      <c r="G176" s="280">
        <f t="shared" si="4"/>
        <v>0.5888888888888886</v>
      </c>
      <c r="H176" s="280">
        <f t="shared" si="5"/>
        <v>0.7111111111111107</v>
      </c>
      <c r="I176" s="280">
        <f t="shared" si="6"/>
        <v>0.6611111111111108</v>
      </c>
    </row>
    <row r="177" spans="2:9" ht="12.75">
      <c r="B177" s="308">
        <v>0.479166666666666</v>
      </c>
      <c r="C177" s="309">
        <v>9.5</v>
      </c>
      <c r="D177" s="315">
        <v>0.0125</v>
      </c>
      <c r="F177" s="12">
        <v>18</v>
      </c>
      <c r="G177" s="280">
        <f t="shared" si="4"/>
        <v>0.5944444444444441</v>
      </c>
      <c r="H177" s="280">
        <f t="shared" si="5"/>
        <v>0.7187499999999996</v>
      </c>
      <c r="I177" s="280">
        <f t="shared" si="6"/>
        <v>0.6666666666666663</v>
      </c>
    </row>
    <row r="178" spans="2:9" ht="12.75">
      <c r="B178" s="308">
        <v>0.489583333333333</v>
      </c>
      <c r="C178" s="309">
        <v>10</v>
      </c>
      <c r="D178" s="315">
        <v>0.0131944444444444</v>
      </c>
      <c r="F178" s="12">
        <v>19</v>
      </c>
      <c r="G178" s="280">
        <f t="shared" si="4"/>
        <v>0.5999999999999996</v>
      </c>
      <c r="H178" s="280">
        <f t="shared" si="5"/>
        <v>0.7263888888888884</v>
      </c>
      <c r="I178" s="280">
        <f t="shared" si="6"/>
        <v>0.6722222222222218</v>
      </c>
    </row>
    <row r="179" spans="2:9" ht="12.75">
      <c r="B179" s="308">
        <v>0.5</v>
      </c>
      <c r="C179" s="309">
        <v>10.5</v>
      </c>
      <c r="D179" s="315">
        <v>0.0138888888888888</v>
      </c>
      <c r="F179" s="12">
        <v>20</v>
      </c>
      <c r="G179" s="280">
        <f t="shared" si="4"/>
        <v>0.6055555555555552</v>
      </c>
      <c r="H179" s="280">
        <f t="shared" si="5"/>
        <v>0.7340277777777773</v>
      </c>
      <c r="I179" s="280">
        <f t="shared" si="6"/>
        <v>0.6777777777777774</v>
      </c>
    </row>
    <row r="180" spans="2:9" ht="12.75">
      <c r="B180" s="308">
        <v>0.510416666666666</v>
      </c>
      <c r="C180" s="309">
        <v>11</v>
      </c>
      <c r="D180" s="315">
        <v>0.0145833333333333</v>
      </c>
      <c r="F180" s="12">
        <v>21</v>
      </c>
      <c r="G180" s="280">
        <f t="shared" si="4"/>
        <v>0.6111111111111107</v>
      </c>
      <c r="H180" s="280">
        <f t="shared" si="5"/>
        <v>0.7416666666666661</v>
      </c>
      <c r="I180" s="280">
        <f t="shared" si="6"/>
        <v>0.6833333333333329</v>
      </c>
    </row>
    <row r="181" spans="2:9" ht="12.75">
      <c r="B181" s="308">
        <v>0.520833333333333</v>
      </c>
      <c r="C181" s="309">
        <v>11.5</v>
      </c>
      <c r="D181" s="315">
        <v>0.0152777777777777</v>
      </c>
      <c r="F181" s="12">
        <v>22</v>
      </c>
      <c r="G181" s="280">
        <f t="shared" si="4"/>
        <v>0.6166666666666663</v>
      </c>
      <c r="H181" s="280">
        <f t="shared" si="5"/>
        <v>0.749305555555555</v>
      </c>
      <c r="I181" s="280">
        <f t="shared" si="6"/>
        <v>0.6888888888888884</v>
      </c>
    </row>
    <row r="182" spans="2:9" ht="12.75">
      <c r="B182" s="308">
        <v>0.531249999999999</v>
      </c>
      <c r="C182" s="309">
        <v>12</v>
      </c>
      <c r="D182" s="315">
        <v>0.0159722222222222</v>
      </c>
      <c r="F182" s="12">
        <v>23</v>
      </c>
      <c r="G182" s="280">
        <f t="shared" si="4"/>
        <v>0.6222222222222218</v>
      </c>
      <c r="H182" s="280">
        <f t="shared" si="5"/>
        <v>0.7569444444444439</v>
      </c>
      <c r="I182" s="280">
        <f t="shared" si="6"/>
        <v>0.694444444444444</v>
      </c>
    </row>
    <row r="183" spans="2:9" ht="12.75">
      <c r="B183" s="308">
        <v>0.541666666666666</v>
      </c>
      <c r="C183" s="309">
        <v>12.5</v>
      </c>
      <c r="D183" s="315">
        <v>0.0166666666666666</v>
      </c>
      <c r="F183" s="12">
        <v>24</v>
      </c>
      <c r="G183" s="280">
        <f t="shared" si="4"/>
        <v>0.6277777777777773</v>
      </c>
      <c r="H183" s="280">
        <f t="shared" si="5"/>
        <v>0.7645833333333327</v>
      </c>
      <c r="I183" s="280">
        <f t="shared" si="6"/>
        <v>0.6999999999999995</v>
      </c>
    </row>
    <row r="184" spans="2:9" ht="12.75">
      <c r="B184" s="308">
        <v>0.552083333333333</v>
      </c>
      <c r="C184" s="309">
        <v>13</v>
      </c>
      <c r="D184" s="315">
        <v>0.0173611111111111</v>
      </c>
      <c r="F184" s="12">
        <v>25</v>
      </c>
      <c r="G184" s="280">
        <f t="shared" si="4"/>
        <v>0.6333333333333329</v>
      </c>
      <c r="H184" s="280">
        <f t="shared" si="5"/>
        <v>0.7722222222222216</v>
      </c>
      <c r="I184" s="280">
        <f t="shared" si="6"/>
        <v>0.705555555555555</v>
      </c>
    </row>
    <row r="185" spans="2:9" ht="12.75">
      <c r="B185" s="308">
        <v>0.562499999999999</v>
      </c>
      <c r="C185" s="309">
        <v>13.5</v>
      </c>
      <c r="D185" s="315">
        <v>0.0180555555555555</v>
      </c>
      <c r="F185" s="12">
        <v>26</v>
      </c>
      <c r="G185" s="280">
        <f t="shared" si="4"/>
        <v>0.6388888888888884</v>
      </c>
      <c r="H185" s="280">
        <f t="shared" si="5"/>
        <v>0.7798611111111104</v>
      </c>
      <c r="I185" s="280">
        <f t="shared" si="6"/>
        <v>0.7111111111111106</v>
      </c>
    </row>
    <row r="186" spans="2:9" ht="12.75">
      <c r="B186" s="308">
        <v>0.572916666666666</v>
      </c>
      <c r="C186" s="309">
        <v>14</v>
      </c>
      <c r="D186" s="315">
        <v>0.01875</v>
      </c>
      <c r="F186" s="12">
        <v>27</v>
      </c>
      <c r="G186" s="280">
        <f t="shared" si="4"/>
        <v>0.6444444444444439</v>
      </c>
      <c r="H186" s="280">
        <f t="shared" si="5"/>
        <v>0.7874999999999993</v>
      </c>
      <c r="I186" s="280">
        <f t="shared" si="6"/>
        <v>0.7166666666666661</v>
      </c>
    </row>
    <row r="187" spans="2:9" ht="12.75">
      <c r="B187" s="308">
        <v>0.583333333333333</v>
      </c>
      <c r="C187" s="309">
        <v>14.5</v>
      </c>
      <c r="D187" s="315">
        <v>0.0194444444444444</v>
      </c>
      <c r="F187" s="12">
        <v>28</v>
      </c>
      <c r="G187" s="280">
        <f t="shared" si="4"/>
        <v>0.6499999999999995</v>
      </c>
      <c r="H187" s="280">
        <f t="shared" si="5"/>
        <v>0.7951388888888882</v>
      </c>
      <c r="I187" s="280">
        <f t="shared" si="6"/>
        <v>0.7222222222222217</v>
      </c>
    </row>
    <row r="188" spans="2:9" ht="12.75">
      <c r="B188" s="308">
        <v>0.593749999999999</v>
      </c>
      <c r="C188" s="309">
        <v>15</v>
      </c>
      <c r="D188" s="315">
        <v>0.0201388888888888</v>
      </c>
      <c r="F188" s="12">
        <v>29</v>
      </c>
      <c r="G188" s="280">
        <f t="shared" si="4"/>
        <v>0.655555555555555</v>
      </c>
      <c r="H188" s="280">
        <f t="shared" si="5"/>
        <v>0.802777777777777</v>
      </c>
      <c r="I188" s="280">
        <f t="shared" si="6"/>
        <v>0.7277777777777772</v>
      </c>
    </row>
    <row r="189" spans="2:9" ht="12.75">
      <c r="B189" s="308">
        <v>0.604166666666666</v>
      </c>
      <c r="C189" s="309">
        <v>15.5</v>
      </c>
      <c r="D189" s="315">
        <v>0.0208333333333333</v>
      </c>
      <c r="F189" s="12">
        <v>30</v>
      </c>
      <c r="G189" s="280">
        <f t="shared" si="4"/>
        <v>0.6611111111111105</v>
      </c>
      <c r="H189" s="280">
        <f t="shared" si="5"/>
        <v>0.8104166666666659</v>
      </c>
      <c r="I189" s="280">
        <f t="shared" si="6"/>
        <v>0.7333333333333327</v>
      </c>
    </row>
    <row r="190" spans="2:9" ht="12.75">
      <c r="B190" s="308">
        <v>0.614583333333333</v>
      </c>
      <c r="C190" s="309">
        <v>16</v>
      </c>
      <c r="D190" s="315">
        <v>0.0215277777777777</v>
      </c>
      <c r="F190" s="12">
        <v>31</v>
      </c>
      <c r="G190" s="280">
        <f t="shared" si="4"/>
        <v>0.6666666666666661</v>
      </c>
      <c r="H190" s="280">
        <f t="shared" si="5"/>
        <v>0.8180555555555548</v>
      </c>
      <c r="I190" s="280">
        <f t="shared" si="6"/>
        <v>0.7388888888888883</v>
      </c>
    </row>
    <row r="191" spans="2:9" ht="12.75">
      <c r="B191" s="308">
        <v>0.624999999999999</v>
      </c>
      <c r="C191" s="309">
        <v>16.5</v>
      </c>
      <c r="D191" s="315">
        <v>0.0222222222222222</v>
      </c>
      <c r="F191" s="12">
        <v>32</v>
      </c>
      <c r="G191" s="280">
        <f t="shared" si="4"/>
        <v>0.6722222222222216</v>
      </c>
      <c r="H191" s="280">
        <f t="shared" si="5"/>
        <v>0.8256944444444436</v>
      </c>
      <c r="I191" s="280">
        <f t="shared" si="6"/>
        <v>0.7444444444444438</v>
      </c>
    </row>
    <row r="192" spans="2:9" ht="12.75">
      <c r="B192" s="308">
        <v>0.635416666666666</v>
      </c>
      <c r="C192" s="309">
        <v>17</v>
      </c>
      <c r="D192" s="315">
        <v>0.0229166666666666</v>
      </c>
      <c r="F192" s="12">
        <v>33</v>
      </c>
      <c r="G192" s="280">
        <f t="shared" si="4"/>
        <v>0.6777777777777771</v>
      </c>
      <c r="H192" s="280">
        <f t="shared" si="5"/>
        <v>0.8333333333333325</v>
      </c>
      <c r="I192" s="280">
        <f t="shared" si="6"/>
        <v>0.7499999999999993</v>
      </c>
    </row>
    <row r="193" spans="2:9" ht="12.75">
      <c r="B193" s="308">
        <v>0.645833333333332</v>
      </c>
      <c r="C193" s="309">
        <v>17.5</v>
      </c>
      <c r="D193" s="315">
        <v>0.0236111111111111</v>
      </c>
      <c r="F193" s="12">
        <v>34</v>
      </c>
      <c r="G193" s="280">
        <f aca="true" t="shared" si="7" ref="G193:G224">G192+MatchTimeO</f>
        <v>0.6833333333333327</v>
      </c>
      <c r="H193" s="280">
        <f aca="true" t="shared" si="8" ref="H193:H224">H192+MatchTimeF</f>
        <v>0.8409722222222213</v>
      </c>
      <c r="I193" s="280">
        <f aca="true" t="shared" si="9" ref="I193:I224">IF(MatchTimeB="","",I192+MatchTimeB)</f>
        <v>0.7555555555555549</v>
      </c>
    </row>
    <row r="194" spans="2:9" ht="12.75">
      <c r="B194" s="308">
        <v>0.656249999999999</v>
      </c>
      <c r="C194" s="309">
        <v>18</v>
      </c>
      <c r="D194" s="315">
        <v>0.0243055555555555</v>
      </c>
      <c r="F194" s="12">
        <v>35</v>
      </c>
      <c r="G194" s="280">
        <f t="shared" si="7"/>
        <v>0.6888888888888882</v>
      </c>
      <c r="H194" s="280">
        <f t="shared" si="8"/>
        <v>0.8486111111111102</v>
      </c>
      <c r="I194" s="280">
        <f t="shared" si="9"/>
        <v>0.7611111111111104</v>
      </c>
    </row>
    <row r="195" spans="2:9" ht="12.75">
      <c r="B195" s="308">
        <v>0.666666666666666</v>
      </c>
      <c r="C195" s="309">
        <v>18.5</v>
      </c>
      <c r="D195" s="315">
        <v>0.025</v>
      </c>
      <c r="F195" s="12">
        <v>36</v>
      </c>
      <c r="G195" s="280">
        <f t="shared" si="7"/>
        <v>0.6944444444444438</v>
      </c>
      <c r="H195" s="280">
        <f t="shared" si="8"/>
        <v>0.8562499999999991</v>
      </c>
      <c r="I195" s="280">
        <f t="shared" si="9"/>
        <v>0.7666666666666659</v>
      </c>
    </row>
    <row r="196" spans="2:9" ht="12.75">
      <c r="B196" s="308">
        <v>0.677083333333332</v>
      </c>
      <c r="C196" s="309">
        <v>19</v>
      </c>
      <c r="D196" s="315">
        <v>0.0256944444444444</v>
      </c>
      <c r="F196" s="12">
        <v>37</v>
      </c>
      <c r="G196" s="280">
        <f t="shared" si="7"/>
        <v>0.6999999999999993</v>
      </c>
      <c r="H196" s="280">
        <f t="shared" si="8"/>
        <v>0.8638888888888879</v>
      </c>
      <c r="I196" s="280">
        <f t="shared" si="9"/>
        <v>0.7722222222222215</v>
      </c>
    </row>
    <row r="197" spans="2:9" ht="12.75">
      <c r="B197" s="308">
        <v>0.687499999999999</v>
      </c>
      <c r="C197" s="309">
        <v>19.5</v>
      </c>
      <c r="D197" s="315">
        <v>0.0263888888888888</v>
      </c>
      <c r="F197" s="12">
        <v>38</v>
      </c>
      <c r="G197" s="280">
        <f t="shared" si="7"/>
        <v>0.7055555555555548</v>
      </c>
      <c r="H197" s="280">
        <f t="shared" si="8"/>
        <v>0.8715277777777768</v>
      </c>
      <c r="I197" s="280">
        <f t="shared" si="9"/>
        <v>0.777777777777777</v>
      </c>
    </row>
    <row r="198" spans="2:9" ht="12.75">
      <c r="B198" s="308">
        <v>0.697916666666666</v>
      </c>
      <c r="C198" s="309">
        <v>20</v>
      </c>
      <c r="D198" s="315">
        <v>0.0270833333333333</v>
      </c>
      <c r="F198" s="12">
        <v>39</v>
      </c>
      <c r="G198" s="280">
        <f t="shared" si="7"/>
        <v>0.7111111111111104</v>
      </c>
      <c r="H198" s="280">
        <f t="shared" si="8"/>
        <v>0.8791666666666657</v>
      </c>
      <c r="I198" s="280">
        <f t="shared" si="9"/>
        <v>0.7833333333333325</v>
      </c>
    </row>
    <row r="199" spans="2:9" ht="12.75">
      <c r="B199" s="308">
        <v>0.708333333333332</v>
      </c>
      <c r="C199" s="309">
        <v>20.5</v>
      </c>
      <c r="D199" s="315">
        <v>0.0277777777777777</v>
      </c>
      <c r="F199" s="12">
        <v>40</v>
      </c>
      <c r="G199" s="280">
        <f t="shared" si="7"/>
        <v>0.7166666666666659</v>
      </c>
      <c r="H199" s="280">
        <f t="shared" si="8"/>
        <v>0.8868055555555545</v>
      </c>
      <c r="I199" s="280">
        <f t="shared" si="9"/>
        <v>0.7888888888888881</v>
      </c>
    </row>
    <row r="200" spans="2:9" ht="12.75">
      <c r="B200" s="308">
        <v>0.718749999999999</v>
      </c>
      <c r="C200" s="309">
        <v>21</v>
      </c>
      <c r="D200" s="315">
        <v>0.0284722222222222</v>
      </c>
      <c r="F200" s="12">
        <v>41</v>
      </c>
      <c r="G200" s="280">
        <f t="shared" si="7"/>
        <v>0.7222222222222214</v>
      </c>
      <c r="H200" s="280">
        <f t="shared" si="8"/>
        <v>0.8944444444444434</v>
      </c>
      <c r="I200" s="280">
        <f t="shared" si="9"/>
        <v>0.7944444444444436</v>
      </c>
    </row>
    <row r="201" spans="2:9" ht="12.75">
      <c r="B201" s="308">
        <v>0.729166666666665</v>
      </c>
      <c r="C201" s="309">
        <v>21.5</v>
      </c>
      <c r="D201" s="315">
        <v>0.0291666666666666</v>
      </c>
      <c r="F201" s="12">
        <v>42</v>
      </c>
      <c r="G201" s="280">
        <f t="shared" si="7"/>
        <v>0.727777777777777</v>
      </c>
      <c r="H201" s="280">
        <f t="shared" si="8"/>
        <v>0.9020833333333322</v>
      </c>
      <c r="I201" s="280">
        <f t="shared" si="9"/>
        <v>0.7999999999999992</v>
      </c>
    </row>
    <row r="202" spans="2:9" ht="12.75">
      <c r="B202" s="308">
        <v>0.739583333333332</v>
      </c>
      <c r="C202" s="309">
        <v>22</v>
      </c>
      <c r="D202" s="315">
        <v>0.0298611111111111</v>
      </c>
      <c r="F202" s="12">
        <v>43</v>
      </c>
      <c r="G202" s="280">
        <f t="shared" si="7"/>
        <v>0.7333333333333325</v>
      </c>
      <c r="H202" s="280">
        <f t="shared" si="8"/>
        <v>0.9097222222222211</v>
      </c>
      <c r="I202" s="280">
        <f t="shared" si="9"/>
        <v>0.8055555555555547</v>
      </c>
    </row>
    <row r="203" spans="2:9" ht="12.75">
      <c r="B203" s="308">
        <v>0.749999999999999</v>
      </c>
      <c r="C203" s="309">
        <v>22.5</v>
      </c>
      <c r="D203" s="315">
        <v>0.0305555555555555</v>
      </c>
      <c r="F203" s="12">
        <v>44</v>
      </c>
      <c r="G203" s="280">
        <f t="shared" si="7"/>
        <v>0.738888888888888</v>
      </c>
      <c r="H203" s="280">
        <f t="shared" si="8"/>
        <v>0.91736111111111</v>
      </c>
      <c r="I203" s="280">
        <f t="shared" si="9"/>
        <v>0.8111111111111102</v>
      </c>
    </row>
    <row r="204" spans="2:9" ht="12.75">
      <c r="B204" s="308">
        <v>0.760416666666665</v>
      </c>
      <c r="C204" s="309">
        <v>23</v>
      </c>
      <c r="D204" s="315">
        <v>0.03125</v>
      </c>
      <c r="F204" s="12">
        <v>45</v>
      </c>
      <c r="G204" s="280">
        <f t="shared" si="7"/>
        <v>0.7444444444444436</v>
      </c>
      <c r="H204" s="280">
        <f t="shared" si="8"/>
        <v>0.9249999999999988</v>
      </c>
      <c r="I204" s="280">
        <f t="shared" si="9"/>
        <v>0.8166666666666658</v>
      </c>
    </row>
    <row r="205" spans="2:9" ht="12.75">
      <c r="B205" s="308">
        <v>0.770833333333332</v>
      </c>
      <c r="C205" s="309">
        <v>23.5</v>
      </c>
      <c r="D205" s="315">
        <v>0.0319444444444444</v>
      </c>
      <c r="F205" s="12">
        <v>46</v>
      </c>
      <c r="G205" s="280">
        <f t="shared" si="7"/>
        <v>0.7499999999999991</v>
      </c>
      <c r="H205" s="280">
        <f t="shared" si="8"/>
        <v>0.9326388888888877</v>
      </c>
      <c r="I205" s="280">
        <f t="shared" si="9"/>
        <v>0.8222222222222213</v>
      </c>
    </row>
    <row r="206" spans="2:9" ht="12.75">
      <c r="B206" s="308">
        <v>0.781249999999999</v>
      </c>
      <c r="C206" s="309">
        <v>24</v>
      </c>
      <c r="D206" s="315">
        <v>0.0326388888888888</v>
      </c>
      <c r="F206" s="12">
        <v>47</v>
      </c>
      <c r="G206" s="280">
        <f t="shared" si="7"/>
        <v>0.7555555555555546</v>
      </c>
      <c r="H206" s="280">
        <f t="shared" si="8"/>
        <v>0.9402777777777765</v>
      </c>
      <c r="I206" s="280">
        <f t="shared" si="9"/>
        <v>0.8277777777777768</v>
      </c>
    </row>
    <row r="207" spans="2:9" ht="12.75">
      <c r="B207" s="308">
        <v>0.791666666666665</v>
      </c>
      <c r="C207" s="309">
        <v>24.5</v>
      </c>
      <c r="D207" s="315">
        <v>0.0333333333333333</v>
      </c>
      <c r="F207" s="12">
        <v>48</v>
      </c>
      <c r="G207" s="280">
        <f t="shared" si="7"/>
        <v>0.7611111111111102</v>
      </c>
      <c r="H207" s="280">
        <f t="shared" si="8"/>
        <v>0.9479166666666654</v>
      </c>
      <c r="I207" s="280">
        <f t="shared" si="9"/>
        <v>0.8333333333333324</v>
      </c>
    </row>
    <row r="208" spans="2:9" ht="12.75">
      <c r="B208" s="308">
        <v>0.802083333333332</v>
      </c>
      <c r="C208" s="309">
        <v>25</v>
      </c>
      <c r="D208" s="315">
        <v>0.0340277777777777</v>
      </c>
      <c r="F208" s="12">
        <v>49</v>
      </c>
      <c r="G208" s="280">
        <f t="shared" si="7"/>
        <v>0.7666666666666657</v>
      </c>
      <c r="H208" s="280">
        <f t="shared" si="8"/>
        <v>0.9555555555555543</v>
      </c>
      <c r="I208" s="280">
        <f t="shared" si="9"/>
        <v>0.8388888888888879</v>
      </c>
    </row>
    <row r="209" spans="2:9" ht="12.75">
      <c r="B209" s="308">
        <v>0.812499999999998</v>
      </c>
      <c r="C209" s="309">
        <v>25.5</v>
      </c>
      <c r="D209" s="315">
        <v>0.0347222222222222</v>
      </c>
      <c r="F209" s="12">
        <v>50</v>
      </c>
      <c r="G209" s="280">
        <f t="shared" si="7"/>
        <v>0.7722222222222213</v>
      </c>
      <c r="H209" s="280">
        <f t="shared" si="8"/>
        <v>0.9631944444444431</v>
      </c>
      <c r="I209" s="280">
        <f t="shared" si="9"/>
        <v>0.8444444444444434</v>
      </c>
    </row>
    <row r="210" spans="2:9" ht="12.75">
      <c r="B210" s="308">
        <v>0.822916666666665</v>
      </c>
      <c r="C210" s="309">
        <v>26</v>
      </c>
      <c r="D210" s="315">
        <v>0.0354166666666666</v>
      </c>
      <c r="F210" s="12">
        <v>51</v>
      </c>
      <c r="G210" s="280">
        <f t="shared" si="7"/>
        <v>0.7777777777777768</v>
      </c>
      <c r="H210" s="280">
        <f t="shared" si="8"/>
        <v>0.970833333333332</v>
      </c>
      <c r="I210" s="280">
        <f t="shared" si="9"/>
        <v>0.849999999999999</v>
      </c>
    </row>
    <row r="211" spans="2:9" ht="12.75">
      <c r="B211" s="308">
        <v>0.833333333333332</v>
      </c>
      <c r="C211" s="309">
        <v>26.5</v>
      </c>
      <c r="D211" s="315">
        <v>0.0361111111111111</v>
      </c>
      <c r="F211" s="12">
        <v>52</v>
      </c>
      <c r="G211" s="280">
        <f t="shared" si="7"/>
        <v>0.7833333333333323</v>
      </c>
      <c r="H211" s="280">
        <f t="shared" si="8"/>
        <v>0.9784722222222209</v>
      </c>
      <c r="I211" s="280">
        <f t="shared" si="9"/>
        <v>0.8555555555555545</v>
      </c>
    </row>
    <row r="212" spans="2:9" ht="12.75">
      <c r="B212" s="308">
        <v>0.843749999999998</v>
      </c>
      <c r="C212" s="309">
        <v>27</v>
      </c>
      <c r="D212" s="315">
        <v>0.0368055555555555</v>
      </c>
      <c r="F212" s="12">
        <v>53</v>
      </c>
      <c r="G212" s="280">
        <f t="shared" si="7"/>
        <v>0.7888888888888879</v>
      </c>
      <c r="H212" s="280">
        <f t="shared" si="8"/>
        <v>0.9861111111111097</v>
      </c>
      <c r="I212" s="280">
        <f t="shared" si="9"/>
        <v>0.86111111111111</v>
      </c>
    </row>
    <row r="213" spans="2:9" ht="12.75">
      <c r="B213" s="308">
        <v>0.854166666666665</v>
      </c>
      <c r="C213" s="309">
        <v>27.5</v>
      </c>
      <c r="D213" s="315">
        <v>0.0375</v>
      </c>
      <c r="F213" s="12">
        <v>54</v>
      </c>
      <c r="G213" s="280">
        <f t="shared" si="7"/>
        <v>0.7944444444444434</v>
      </c>
      <c r="H213" s="280">
        <f t="shared" si="8"/>
        <v>0.9937499999999986</v>
      </c>
      <c r="I213" s="280">
        <f t="shared" si="9"/>
        <v>0.8666666666666656</v>
      </c>
    </row>
    <row r="214" spans="2:9" ht="12.75">
      <c r="B214" s="308">
        <v>0.864583333333332</v>
      </c>
      <c r="C214" s="309">
        <v>28</v>
      </c>
      <c r="D214" s="315">
        <v>0.0381944444444444</v>
      </c>
      <c r="F214" s="12">
        <v>55</v>
      </c>
      <c r="G214" s="280">
        <f t="shared" si="7"/>
        <v>0.7999999999999989</v>
      </c>
      <c r="H214" s="280">
        <f t="shared" si="8"/>
        <v>1.0013888888888876</v>
      </c>
      <c r="I214" s="280">
        <f t="shared" si="9"/>
        <v>0.8722222222222211</v>
      </c>
    </row>
    <row r="215" spans="2:9" ht="12.75">
      <c r="B215" s="308">
        <v>0.874999999999998</v>
      </c>
      <c r="C215" s="309">
        <v>28.5</v>
      </c>
      <c r="D215" s="315">
        <v>0.0388888888888888</v>
      </c>
      <c r="F215" s="12">
        <v>56</v>
      </c>
      <c r="G215" s="280">
        <f t="shared" si="7"/>
        <v>0.8055555555555545</v>
      </c>
      <c r="H215" s="280">
        <f t="shared" si="8"/>
        <v>1.0090277777777765</v>
      </c>
      <c r="I215" s="280">
        <f t="shared" si="9"/>
        <v>0.8777777777777767</v>
      </c>
    </row>
    <row r="216" spans="2:9" ht="12.75">
      <c r="B216" s="308">
        <v>0.885416666666665</v>
      </c>
      <c r="C216" s="309">
        <v>29</v>
      </c>
      <c r="D216" s="315">
        <v>0.0395833333333333</v>
      </c>
      <c r="F216" s="12">
        <v>57</v>
      </c>
      <c r="G216" s="280">
        <f t="shared" si="7"/>
        <v>0.81111111111111</v>
      </c>
      <c r="H216" s="280">
        <f t="shared" si="8"/>
        <v>1.0166666666666655</v>
      </c>
      <c r="I216" s="280">
        <f t="shared" si="9"/>
        <v>0.8833333333333322</v>
      </c>
    </row>
    <row r="217" spans="2:9" ht="12.75">
      <c r="B217" s="308">
        <v>0.895833333333332</v>
      </c>
      <c r="C217" s="309">
        <v>29.5</v>
      </c>
      <c r="D217" s="315">
        <v>0.0402777777777777</v>
      </c>
      <c r="F217" s="12">
        <v>58</v>
      </c>
      <c r="G217" s="280">
        <f t="shared" si="7"/>
        <v>0.8166666666666655</v>
      </c>
      <c r="H217" s="280">
        <f t="shared" si="8"/>
        <v>1.0243055555555545</v>
      </c>
      <c r="I217" s="280">
        <f t="shared" si="9"/>
        <v>0.8888888888888877</v>
      </c>
    </row>
    <row r="218" spans="2:9" ht="12.75">
      <c r="B218" s="308">
        <v>0.906249999999998</v>
      </c>
      <c r="C218" s="309">
        <v>30</v>
      </c>
      <c r="D218" s="315">
        <v>0.0409722222222222</v>
      </c>
      <c r="F218" s="12">
        <v>59</v>
      </c>
      <c r="G218" s="280">
        <f t="shared" si="7"/>
        <v>0.8222222222222211</v>
      </c>
      <c r="H218" s="280">
        <f t="shared" si="8"/>
        <v>1.0319444444444434</v>
      </c>
      <c r="I218" s="280">
        <f t="shared" si="9"/>
        <v>0.8944444444444433</v>
      </c>
    </row>
    <row r="219" spans="2:9" ht="13.5" thickBot="1">
      <c r="B219" s="308">
        <v>0.916666666666665</v>
      </c>
      <c r="C219" s="309">
        <v>30.5</v>
      </c>
      <c r="D219" s="316">
        <v>0.0416666666666666</v>
      </c>
      <c r="F219" s="12">
        <v>60</v>
      </c>
      <c r="G219" s="280">
        <f t="shared" si="7"/>
        <v>0.8277777777777766</v>
      </c>
      <c r="H219" s="280">
        <f t="shared" si="8"/>
        <v>1.0395833333333324</v>
      </c>
      <c r="I219" s="280">
        <f t="shared" si="9"/>
        <v>0.8999999999999988</v>
      </c>
    </row>
    <row r="220" spans="2:9" ht="12.75">
      <c r="B220" s="308">
        <v>0.927083333333331</v>
      </c>
      <c r="C220" s="309">
        <v>31</v>
      </c>
      <c r="F220" s="12">
        <v>61</v>
      </c>
      <c r="G220" s="280">
        <f t="shared" si="7"/>
        <v>0.8333333333333321</v>
      </c>
      <c r="H220" s="280">
        <f t="shared" si="8"/>
        <v>1.0472222222222214</v>
      </c>
      <c r="I220" s="280">
        <f t="shared" si="9"/>
        <v>0.9055555555555543</v>
      </c>
    </row>
    <row r="221" spans="2:9" ht="12.75">
      <c r="B221" s="308">
        <v>0.937499999999998</v>
      </c>
      <c r="C221" s="309">
        <v>31.5</v>
      </c>
      <c r="F221" s="12">
        <v>62</v>
      </c>
      <c r="G221" s="280">
        <f t="shared" si="7"/>
        <v>0.8388888888888877</v>
      </c>
      <c r="H221" s="280">
        <f t="shared" si="8"/>
        <v>1.0548611111111104</v>
      </c>
      <c r="I221" s="280">
        <f t="shared" si="9"/>
        <v>0.9111111111111099</v>
      </c>
    </row>
    <row r="222" spans="2:9" ht="12.75">
      <c r="B222" s="308">
        <v>0.947916666666665</v>
      </c>
      <c r="C222" s="309">
        <v>32</v>
      </c>
      <c r="F222" s="12">
        <v>63</v>
      </c>
      <c r="G222" s="280">
        <f t="shared" si="7"/>
        <v>0.8444444444444432</v>
      </c>
      <c r="H222" s="280">
        <f t="shared" si="8"/>
        <v>1.0624999999999993</v>
      </c>
      <c r="I222" s="280">
        <f t="shared" si="9"/>
        <v>0.9166666666666654</v>
      </c>
    </row>
    <row r="223" spans="2:9" ht="12.75">
      <c r="B223" s="308">
        <v>0.958333333333331</v>
      </c>
      <c r="C223" s="309">
        <v>32.5</v>
      </c>
      <c r="F223" s="12">
        <v>64</v>
      </c>
      <c r="G223" s="280">
        <f t="shared" si="7"/>
        <v>0.8499999999999988</v>
      </c>
      <c r="H223" s="280">
        <f t="shared" si="8"/>
        <v>1.0701388888888883</v>
      </c>
      <c r="I223" s="280">
        <f t="shared" si="9"/>
        <v>0.9222222222222209</v>
      </c>
    </row>
    <row r="224" spans="2:9" ht="12.75">
      <c r="B224" s="308">
        <v>0.968749999999998</v>
      </c>
      <c r="C224" s="309">
        <v>33</v>
      </c>
      <c r="F224" s="12">
        <v>65</v>
      </c>
      <c r="G224" s="280">
        <f t="shared" si="7"/>
        <v>0.8555555555555543</v>
      </c>
      <c r="H224" s="280">
        <f t="shared" si="8"/>
        <v>1.0777777777777773</v>
      </c>
      <c r="I224" s="280">
        <f t="shared" si="9"/>
        <v>0.9277777777777765</v>
      </c>
    </row>
    <row r="225" spans="2:9" ht="12.75">
      <c r="B225" s="308">
        <v>0.979166666666665</v>
      </c>
      <c r="C225" s="309">
        <v>33.5</v>
      </c>
      <c r="F225" s="12">
        <v>66</v>
      </c>
      <c r="G225" s="280">
        <f aca="true" t="shared" si="10" ref="G225:G239">G224+MatchTimeO</f>
        <v>0.8611111111111098</v>
      </c>
      <c r="H225" s="280">
        <f aca="true" t="shared" si="11" ref="H225:H239">H224+MatchTimeF</f>
        <v>1.0854166666666663</v>
      </c>
      <c r="I225" s="280">
        <f aca="true" t="shared" si="12" ref="I225:I239">IF(MatchTimeB="","",I224+MatchTimeB)</f>
        <v>0.933333333333332</v>
      </c>
    </row>
    <row r="226" spans="2:9" ht="12.75">
      <c r="B226" s="308">
        <v>0.989583333333331</v>
      </c>
      <c r="C226" s="309">
        <v>34</v>
      </c>
      <c r="F226" s="12">
        <v>67</v>
      </c>
      <c r="G226" s="280">
        <f t="shared" si="10"/>
        <v>0.8666666666666654</v>
      </c>
      <c r="H226" s="280">
        <f t="shared" si="11"/>
        <v>1.0930555555555552</v>
      </c>
      <c r="I226" s="280">
        <f t="shared" si="12"/>
        <v>0.9388888888888876</v>
      </c>
    </row>
    <row r="227" spans="2:9" ht="13.5" thickBot="1">
      <c r="B227" s="310">
        <v>0.999999999999999</v>
      </c>
      <c r="C227" s="311">
        <v>34.5</v>
      </c>
      <c r="F227" s="12">
        <v>68</v>
      </c>
      <c r="G227" s="280">
        <f t="shared" si="10"/>
        <v>0.8722222222222209</v>
      </c>
      <c r="H227" s="280">
        <f t="shared" si="11"/>
        <v>1.1006944444444442</v>
      </c>
      <c r="I227" s="280">
        <f t="shared" si="12"/>
        <v>0.9444444444444431</v>
      </c>
    </row>
    <row r="228" spans="2:9" ht="12.75">
      <c r="B228" s="304">
        <v>0.010416666666666666</v>
      </c>
      <c r="C228" s="303">
        <v>35</v>
      </c>
      <c r="F228" s="12">
        <v>69</v>
      </c>
      <c r="G228" s="280">
        <f t="shared" si="10"/>
        <v>0.8777777777777764</v>
      </c>
      <c r="H228" s="280">
        <f t="shared" si="11"/>
        <v>1.1083333333333332</v>
      </c>
      <c r="I228" s="280">
        <f t="shared" si="12"/>
        <v>0.9499999999999986</v>
      </c>
    </row>
    <row r="229" spans="2:9" ht="12.75">
      <c r="B229" s="302">
        <v>0.020833333333333332</v>
      </c>
      <c r="C229" s="303">
        <v>35.5</v>
      </c>
      <c r="F229" s="12">
        <v>70</v>
      </c>
      <c r="G229" s="280">
        <f t="shared" si="10"/>
        <v>0.883333333333332</v>
      </c>
      <c r="H229" s="280">
        <f t="shared" si="11"/>
        <v>1.1159722222222221</v>
      </c>
      <c r="I229" s="280">
        <f t="shared" si="12"/>
        <v>0.9555555555555542</v>
      </c>
    </row>
    <row r="230" spans="2:9" ht="12.75">
      <c r="B230" s="304">
        <v>0.03125</v>
      </c>
      <c r="C230" s="303">
        <v>36</v>
      </c>
      <c r="F230" s="12">
        <v>71</v>
      </c>
      <c r="G230" s="280">
        <f t="shared" si="10"/>
        <v>0.8888888888888875</v>
      </c>
      <c r="H230" s="280">
        <f t="shared" si="11"/>
        <v>1.1236111111111111</v>
      </c>
      <c r="I230" s="280">
        <f t="shared" si="12"/>
        <v>0.9611111111111097</v>
      </c>
    </row>
    <row r="231" spans="2:9" ht="12.75">
      <c r="B231" s="302">
        <v>0.0416666666666667</v>
      </c>
      <c r="C231" s="303">
        <v>36.5</v>
      </c>
      <c r="F231" s="12">
        <v>72</v>
      </c>
      <c r="G231" s="280">
        <f t="shared" si="10"/>
        <v>0.894444444444443</v>
      </c>
      <c r="H231" s="280">
        <f t="shared" si="11"/>
        <v>1.13125</v>
      </c>
      <c r="I231" s="280">
        <f t="shared" si="12"/>
        <v>0.9666666666666652</v>
      </c>
    </row>
    <row r="232" spans="2:9" ht="12.75">
      <c r="B232" s="304">
        <v>0.0520833333333334</v>
      </c>
      <c r="C232" s="303">
        <v>37</v>
      </c>
      <c r="F232" s="12">
        <v>73</v>
      </c>
      <c r="G232" s="280">
        <f t="shared" si="10"/>
        <v>0.8999999999999986</v>
      </c>
      <c r="H232" s="280">
        <f t="shared" si="11"/>
        <v>1.138888888888889</v>
      </c>
      <c r="I232" s="280">
        <f t="shared" si="12"/>
        <v>0.9722222222222208</v>
      </c>
    </row>
    <row r="233" spans="2:9" ht="12.75">
      <c r="B233" s="302">
        <v>0.0625</v>
      </c>
      <c r="C233" s="303">
        <v>37.5</v>
      </c>
      <c r="F233" s="12">
        <v>74</v>
      </c>
      <c r="G233" s="280">
        <f t="shared" si="10"/>
        <v>0.9055555555555541</v>
      </c>
      <c r="H233" s="280">
        <f t="shared" si="11"/>
        <v>1.146527777777778</v>
      </c>
      <c r="I233" s="280">
        <f t="shared" si="12"/>
        <v>0.9777777777777763</v>
      </c>
    </row>
    <row r="234" spans="2:9" ht="12.75">
      <c r="B234" s="304">
        <v>0.0729166666666667</v>
      </c>
      <c r="C234" s="303">
        <v>38</v>
      </c>
      <c r="F234" s="12">
        <v>75</v>
      </c>
      <c r="G234" s="280">
        <f t="shared" si="10"/>
        <v>0.9111111111111097</v>
      </c>
      <c r="H234" s="280">
        <f t="shared" si="11"/>
        <v>1.154166666666667</v>
      </c>
      <c r="I234" s="280">
        <f t="shared" si="12"/>
        <v>0.9833333333333318</v>
      </c>
    </row>
    <row r="235" spans="2:9" ht="12.75">
      <c r="B235" s="302">
        <v>0.0833333333333334</v>
      </c>
      <c r="C235" s="303">
        <v>38.5</v>
      </c>
      <c r="F235" s="12">
        <v>76</v>
      </c>
      <c r="G235" s="280">
        <f t="shared" si="10"/>
        <v>0.9166666666666652</v>
      </c>
      <c r="H235" s="280">
        <f t="shared" si="11"/>
        <v>1.161805555555556</v>
      </c>
      <c r="I235" s="280">
        <f t="shared" si="12"/>
        <v>0.9888888888888874</v>
      </c>
    </row>
    <row r="236" spans="2:9" ht="12.75">
      <c r="B236" s="304">
        <v>0.09375</v>
      </c>
      <c r="C236" s="303">
        <v>39</v>
      </c>
      <c r="F236" s="12">
        <v>77</v>
      </c>
      <c r="G236" s="280">
        <f t="shared" si="10"/>
        <v>0.9222222222222207</v>
      </c>
      <c r="H236" s="280">
        <f t="shared" si="11"/>
        <v>1.169444444444445</v>
      </c>
      <c r="I236" s="280">
        <f t="shared" si="12"/>
        <v>0.9944444444444429</v>
      </c>
    </row>
    <row r="237" spans="2:9" ht="12.75">
      <c r="B237" s="302">
        <v>0.104166666666667</v>
      </c>
      <c r="C237" s="303">
        <v>39.5</v>
      </c>
      <c r="F237" s="12">
        <v>78</v>
      </c>
      <c r="G237" s="280">
        <f t="shared" si="10"/>
        <v>0.9277777777777763</v>
      </c>
      <c r="H237" s="280">
        <f t="shared" si="11"/>
        <v>1.177083333333334</v>
      </c>
      <c r="I237" s="280">
        <f t="shared" si="12"/>
        <v>0.9999999999999984</v>
      </c>
    </row>
    <row r="238" spans="2:9" ht="12.75">
      <c r="B238" s="304">
        <v>0.114583333333334</v>
      </c>
      <c r="C238" s="303">
        <v>40</v>
      </c>
      <c r="F238" s="12">
        <v>79</v>
      </c>
      <c r="G238" s="280">
        <f t="shared" si="10"/>
        <v>0.9333333333333318</v>
      </c>
      <c r="H238" s="280">
        <f t="shared" si="11"/>
        <v>1.184722222222223</v>
      </c>
      <c r="I238" s="280">
        <f t="shared" si="12"/>
        <v>1.005555555555554</v>
      </c>
    </row>
    <row r="239" spans="2:9" ht="13.5" thickBot="1">
      <c r="B239" s="302">
        <v>0.125</v>
      </c>
      <c r="C239" s="303">
        <v>40.5</v>
      </c>
      <c r="F239" s="29">
        <v>80</v>
      </c>
      <c r="G239" s="282">
        <f t="shared" si="10"/>
        <v>0.9388888888888873</v>
      </c>
      <c r="H239" s="280">
        <f t="shared" si="11"/>
        <v>1.1923611111111119</v>
      </c>
      <c r="I239" s="280">
        <f t="shared" si="12"/>
        <v>1.0111111111111095</v>
      </c>
    </row>
    <row r="240" spans="2:3" ht="12.75">
      <c r="B240" s="304">
        <v>0.135416666666667</v>
      </c>
      <c r="C240" s="303">
        <v>41</v>
      </c>
    </row>
    <row r="241" spans="2:3" ht="12.75">
      <c r="B241" s="302">
        <v>0.145833333333334</v>
      </c>
      <c r="C241" s="303">
        <v>41.5</v>
      </c>
    </row>
    <row r="242" spans="2:3" ht="12.75">
      <c r="B242" s="304">
        <v>0.15625</v>
      </c>
      <c r="C242" s="303">
        <v>42</v>
      </c>
    </row>
    <row r="243" spans="2:3" ht="12.75">
      <c r="B243" s="302">
        <v>0.166666666666667</v>
      </c>
      <c r="C243" s="303">
        <v>42.5</v>
      </c>
    </row>
    <row r="244" spans="2:3" ht="12.75">
      <c r="B244" s="304">
        <v>0.177083333333334</v>
      </c>
      <c r="C244" s="303">
        <v>43</v>
      </c>
    </row>
    <row r="245" spans="2:3" ht="12.75">
      <c r="B245" s="302">
        <v>0.1875</v>
      </c>
      <c r="C245" s="303">
        <v>43.5</v>
      </c>
    </row>
    <row r="246" spans="2:3" ht="12.75">
      <c r="B246" s="304">
        <v>0.197916666666667</v>
      </c>
      <c r="C246" s="303">
        <v>44</v>
      </c>
    </row>
    <row r="247" spans="2:3" ht="12.75">
      <c r="B247" s="302">
        <v>0.208333333333334</v>
      </c>
      <c r="C247" s="303">
        <v>44.5</v>
      </c>
    </row>
    <row r="248" spans="2:3" ht="12.75">
      <c r="B248" s="304">
        <v>0.21875</v>
      </c>
      <c r="C248" s="303">
        <v>45</v>
      </c>
    </row>
    <row r="249" spans="2:3" ht="12.75">
      <c r="B249" s="302">
        <v>0.229166666666667</v>
      </c>
      <c r="C249" s="303">
        <v>45.5</v>
      </c>
    </row>
    <row r="250" spans="2:3" ht="12.75">
      <c r="B250" s="304">
        <v>0.239583333333334</v>
      </c>
      <c r="C250" s="303">
        <v>46</v>
      </c>
    </row>
    <row r="251" spans="2:3" ht="12.75">
      <c r="B251" s="302">
        <v>0.25</v>
      </c>
      <c r="C251" s="303">
        <v>46.5</v>
      </c>
    </row>
    <row r="252" spans="2:3" ht="12.75">
      <c r="B252" s="304">
        <v>0.260416666666667</v>
      </c>
      <c r="C252" s="303">
        <v>47</v>
      </c>
    </row>
    <row r="253" spans="2:3" ht="12.75">
      <c r="B253" s="302">
        <v>0.270833333333334</v>
      </c>
      <c r="C253" s="303">
        <v>47.5</v>
      </c>
    </row>
    <row r="254" spans="2:3" ht="13.5" thickBot="1">
      <c r="B254" s="305">
        <v>0.28125</v>
      </c>
      <c r="C254" s="306">
        <v>48</v>
      </c>
    </row>
  </sheetData>
  <sheetProtection/>
  <mergeCells count="6">
    <mergeCell ref="B157:C157"/>
    <mergeCell ref="B1:F1"/>
    <mergeCell ref="A39:D39"/>
    <mergeCell ref="E109:I109"/>
    <mergeCell ref="E64:E67"/>
    <mergeCell ref="E69:E7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9"/>
  <dimension ref="A1:BM17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9.57421875" style="0" customWidth="1"/>
    <col min="2" max="66" width="4.00390625" style="0" customWidth="1"/>
  </cols>
  <sheetData>
    <row r="1" spans="1:33" ht="13.5" thickBot="1">
      <c r="A1" s="103" t="s">
        <v>98</v>
      </c>
      <c r="B1" s="10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64" ht="12.75">
      <c r="A2" s="104">
        <v>1</v>
      </c>
      <c r="B2" s="105" t="s">
        <v>43</v>
      </c>
      <c r="C2" s="106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4" ht="12.75">
      <c r="A3" s="110">
        <v>2</v>
      </c>
      <c r="B3" s="111" t="s">
        <v>43</v>
      </c>
      <c r="C3" s="112" t="s">
        <v>42</v>
      </c>
      <c r="D3" s="11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5"/>
    </row>
    <row r="4" spans="1:64" ht="12.75">
      <c r="A4" s="110">
        <v>3</v>
      </c>
      <c r="B4" s="111" t="s">
        <v>41</v>
      </c>
      <c r="C4" s="112" t="s">
        <v>39</v>
      </c>
      <c r="D4" s="113" t="s">
        <v>42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5"/>
    </row>
    <row r="5" spans="1:64" ht="12.75">
      <c r="A5" s="110">
        <v>4</v>
      </c>
      <c r="B5" s="111" t="s">
        <v>41</v>
      </c>
      <c r="C5" s="112" t="s">
        <v>39</v>
      </c>
      <c r="D5" s="113" t="s">
        <v>40</v>
      </c>
      <c r="E5" s="112" t="s">
        <v>38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5"/>
    </row>
    <row r="6" spans="1:64" ht="12.75">
      <c r="A6" s="110">
        <v>5</v>
      </c>
      <c r="B6" s="111" t="s">
        <v>36</v>
      </c>
      <c r="C6" s="112" t="s">
        <v>31</v>
      </c>
      <c r="D6" s="112" t="s">
        <v>40</v>
      </c>
      <c r="E6" s="112" t="s">
        <v>38</v>
      </c>
      <c r="F6" s="113" t="s">
        <v>39</v>
      </c>
      <c r="G6" s="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5"/>
    </row>
    <row r="7" spans="1:64" ht="12.75">
      <c r="A7" s="110">
        <v>6</v>
      </c>
      <c r="B7" s="111" t="s">
        <v>36</v>
      </c>
      <c r="C7" s="112" t="s">
        <v>31</v>
      </c>
      <c r="D7" s="113" t="s">
        <v>37</v>
      </c>
      <c r="E7" s="112" t="s">
        <v>32</v>
      </c>
      <c r="F7" s="112" t="s">
        <v>39</v>
      </c>
      <c r="G7" s="112" t="s">
        <v>38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5"/>
    </row>
    <row r="8" spans="1:64" ht="12.75">
      <c r="A8" s="110">
        <v>7</v>
      </c>
      <c r="B8" s="111" t="s">
        <v>36</v>
      </c>
      <c r="C8" s="112" t="s">
        <v>31</v>
      </c>
      <c r="D8" s="113" t="s">
        <v>30</v>
      </c>
      <c r="E8" s="112" t="s">
        <v>33</v>
      </c>
      <c r="F8" s="112" t="s">
        <v>37</v>
      </c>
      <c r="G8" s="112" t="s">
        <v>32</v>
      </c>
      <c r="H8" s="112" t="s">
        <v>38</v>
      </c>
      <c r="I8" s="116" t="s">
        <v>41</v>
      </c>
      <c r="J8" s="117" t="s">
        <v>39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9"/>
    </row>
    <row r="9" spans="1:64" ht="12.75">
      <c r="A9" s="110">
        <v>8</v>
      </c>
      <c r="B9" s="111" t="s">
        <v>36</v>
      </c>
      <c r="C9" s="112" t="s">
        <v>31</v>
      </c>
      <c r="D9" s="113" t="s">
        <v>30</v>
      </c>
      <c r="E9" s="112" t="s">
        <v>33</v>
      </c>
      <c r="F9" s="112" t="s">
        <v>37</v>
      </c>
      <c r="G9" s="112" t="s">
        <v>32</v>
      </c>
      <c r="H9" s="112" t="s">
        <v>34</v>
      </c>
      <c r="I9" s="112" t="s">
        <v>35</v>
      </c>
      <c r="J9" s="116" t="s">
        <v>41</v>
      </c>
      <c r="K9" s="117" t="s">
        <v>39</v>
      </c>
      <c r="L9" s="117" t="s">
        <v>40</v>
      </c>
      <c r="M9" s="117" t="s">
        <v>38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9"/>
    </row>
    <row r="10" spans="1:64" ht="12.75">
      <c r="A10" s="110">
        <v>9</v>
      </c>
      <c r="B10" s="111" t="s">
        <v>29</v>
      </c>
      <c r="C10" s="112" t="s">
        <v>12</v>
      </c>
      <c r="D10" s="113" t="s">
        <v>37</v>
      </c>
      <c r="E10" s="112" t="s">
        <v>32</v>
      </c>
      <c r="F10" s="112" t="s">
        <v>34</v>
      </c>
      <c r="G10" s="112" t="s">
        <v>35</v>
      </c>
      <c r="H10" s="112" t="s">
        <v>31</v>
      </c>
      <c r="I10" s="112" t="s">
        <v>30</v>
      </c>
      <c r="J10" s="112" t="s">
        <v>33</v>
      </c>
      <c r="K10" s="117" t="s">
        <v>40</v>
      </c>
      <c r="L10" s="117" t="s">
        <v>38</v>
      </c>
      <c r="M10" s="117" t="s">
        <v>41</v>
      </c>
      <c r="N10" s="117" t="s">
        <v>39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</row>
    <row r="11" spans="1:64" ht="12.75">
      <c r="A11" s="110">
        <v>10</v>
      </c>
      <c r="B11" s="111" t="s">
        <v>29</v>
      </c>
      <c r="C11" s="112" t="s">
        <v>12</v>
      </c>
      <c r="D11" s="113" t="s">
        <v>28</v>
      </c>
      <c r="E11" s="112" t="s">
        <v>18</v>
      </c>
      <c r="F11" s="112" t="s">
        <v>31</v>
      </c>
      <c r="G11" s="112" t="s">
        <v>30</v>
      </c>
      <c r="H11" s="112" t="s">
        <v>33</v>
      </c>
      <c r="I11" s="112" t="s">
        <v>32</v>
      </c>
      <c r="J11" s="112" t="s">
        <v>34</v>
      </c>
      <c r="K11" s="112" t="s">
        <v>35</v>
      </c>
      <c r="L11" s="117" t="s">
        <v>41</v>
      </c>
      <c r="M11" s="117" t="s">
        <v>39</v>
      </c>
      <c r="N11" s="117" t="s">
        <v>40</v>
      </c>
      <c r="O11" s="117" t="s">
        <v>38</v>
      </c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9"/>
    </row>
    <row r="12" spans="1:64" ht="12.75">
      <c r="A12" s="110">
        <v>11</v>
      </c>
      <c r="B12" s="111" t="s">
        <v>29</v>
      </c>
      <c r="C12" s="112" t="s">
        <v>12</v>
      </c>
      <c r="D12" s="113" t="s">
        <v>26</v>
      </c>
      <c r="E12" s="25" t="s">
        <v>15</v>
      </c>
      <c r="F12" s="112" t="s">
        <v>28</v>
      </c>
      <c r="G12" s="112" t="s">
        <v>18</v>
      </c>
      <c r="H12" s="112" t="s">
        <v>31</v>
      </c>
      <c r="I12" s="112" t="s">
        <v>33</v>
      </c>
      <c r="J12" s="112" t="s">
        <v>32</v>
      </c>
      <c r="K12" s="112" t="s">
        <v>34</v>
      </c>
      <c r="L12" s="112" t="s">
        <v>35</v>
      </c>
      <c r="M12" s="117" t="s">
        <v>41</v>
      </c>
      <c r="N12" s="117" t="s">
        <v>39</v>
      </c>
      <c r="O12" s="117" t="s">
        <v>40</v>
      </c>
      <c r="P12" s="117" t="s">
        <v>38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9"/>
    </row>
    <row r="13" spans="1:64" ht="12.75">
      <c r="A13" s="110">
        <v>12</v>
      </c>
      <c r="B13" s="111" t="s">
        <v>29</v>
      </c>
      <c r="C13" s="112" t="s">
        <v>12</v>
      </c>
      <c r="D13" s="112" t="s">
        <v>26</v>
      </c>
      <c r="E13" s="112" t="s">
        <v>15</v>
      </c>
      <c r="F13" s="120" t="s">
        <v>28</v>
      </c>
      <c r="G13" s="120" t="s">
        <v>18</v>
      </c>
      <c r="H13" s="112" t="s">
        <v>21</v>
      </c>
      <c r="I13" s="112" t="s">
        <v>22</v>
      </c>
      <c r="J13" s="112" t="s">
        <v>31</v>
      </c>
      <c r="K13" s="112" t="s">
        <v>33</v>
      </c>
      <c r="L13" s="112" t="s">
        <v>32</v>
      </c>
      <c r="M13" s="112" t="s">
        <v>35</v>
      </c>
      <c r="N13" s="117" t="s">
        <v>41</v>
      </c>
      <c r="O13" s="117" t="s">
        <v>39</v>
      </c>
      <c r="P13" s="117" t="s">
        <v>40</v>
      </c>
      <c r="Q13" s="117" t="s">
        <v>38</v>
      </c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9"/>
    </row>
    <row r="14" spans="1:64" ht="12.75">
      <c r="A14" s="110">
        <v>13</v>
      </c>
      <c r="B14" s="111" t="s">
        <v>29</v>
      </c>
      <c r="C14" s="112" t="s">
        <v>12</v>
      </c>
      <c r="D14" s="113" t="s">
        <v>26</v>
      </c>
      <c r="E14" s="112" t="s">
        <v>15</v>
      </c>
      <c r="F14" s="112" t="s">
        <v>28</v>
      </c>
      <c r="G14" s="112" t="s">
        <v>18</v>
      </c>
      <c r="H14" s="112" t="s">
        <v>21</v>
      </c>
      <c r="I14" s="112" t="s">
        <v>22</v>
      </c>
      <c r="J14" s="112" t="s">
        <v>23</v>
      </c>
      <c r="K14" s="112" t="s">
        <v>24</v>
      </c>
      <c r="L14" s="3" t="s">
        <v>31</v>
      </c>
      <c r="M14" s="112" t="s">
        <v>33</v>
      </c>
      <c r="N14" s="121" t="s">
        <v>32</v>
      </c>
      <c r="O14" s="117" t="s">
        <v>35</v>
      </c>
      <c r="P14" s="117" t="s">
        <v>41</v>
      </c>
      <c r="Q14" s="117" t="s">
        <v>39</v>
      </c>
      <c r="R14" s="117" t="s">
        <v>40</v>
      </c>
      <c r="S14" s="117" t="s">
        <v>38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9"/>
    </row>
    <row r="15" spans="1:64" ht="12.75">
      <c r="A15" s="110">
        <v>14</v>
      </c>
      <c r="B15" s="111" t="s">
        <v>29</v>
      </c>
      <c r="C15" s="112" t="s">
        <v>12</v>
      </c>
      <c r="D15" s="113" t="s">
        <v>26</v>
      </c>
      <c r="E15" s="25" t="s">
        <v>15</v>
      </c>
      <c r="F15" s="112" t="s">
        <v>16</v>
      </c>
      <c r="G15" s="112" t="s">
        <v>17</v>
      </c>
      <c r="H15" s="112" t="s">
        <v>28</v>
      </c>
      <c r="I15" s="112" t="s">
        <v>18</v>
      </c>
      <c r="J15" s="112" t="s">
        <v>21</v>
      </c>
      <c r="K15" s="112" t="s">
        <v>22</v>
      </c>
      <c r="L15" s="112" t="s">
        <v>23</v>
      </c>
      <c r="M15" s="112" t="s">
        <v>24</v>
      </c>
      <c r="N15" s="112" t="s">
        <v>31</v>
      </c>
      <c r="O15" s="112" t="s">
        <v>32</v>
      </c>
      <c r="P15" s="117" t="s">
        <v>30</v>
      </c>
      <c r="Q15" s="117" t="s">
        <v>33</v>
      </c>
      <c r="R15" s="117" t="s">
        <v>34</v>
      </c>
      <c r="S15" s="117" t="s">
        <v>35</v>
      </c>
      <c r="T15" s="117" t="s">
        <v>41</v>
      </c>
      <c r="U15" s="117" t="s">
        <v>39</v>
      </c>
      <c r="V15" s="117" t="s">
        <v>40</v>
      </c>
      <c r="W15" s="117" t="s">
        <v>38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9"/>
    </row>
    <row r="16" spans="1:64" ht="12.75">
      <c r="A16" s="110">
        <v>15</v>
      </c>
      <c r="B16" s="111" t="s">
        <v>29</v>
      </c>
      <c r="C16" s="112" t="s">
        <v>12</v>
      </c>
      <c r="D16" s="113" t="s">
        <v>13</v>
      </c>
      <c r="E16" s="112" t="s">
        <v>14</v>
      </c>
      <c r="F16" s="112" t="s">
        <v>16</v>
      </c>
      <c r="G16" s="112" t="s">
        <v>17</v>
      </c>
      <c r="H16" s="112" t="s">
        <v>28</v>
      </c>
      <c r="I16" s="112" t="s">
        <v>18</v>
      </c>
      <c r="J16" s="112" t="s">
        <v>19</v>
      </c>
      <c r="K16" s="112" t="s">
        <v>20</v>
      </c>
      <c r="L16" s="112" t="s">
        <v>21</v>
      </c>
      <c r="M16" s="112" t="s">
        <v>22</v>
      </c>
      <c r="N16" s="122" t="s">
        <v>23</v>
      </c>
      <c r="O16" s="122" t="s">
        <v>24</v>
      </c>
      <c r="P16" s="123" t="s">
        <v>30</v>
      </c>
      <c r="Q16" s="117" t="s">
        <v>33</v>
      </c>
      <c r="R16" s="117" t="s">
        <v>36</v>
      </c>
      <c r="S16" s="117" t="s">
        <v>31</v>
      </c>
      <c r="T16" s="116" t="s">
        <v>37</v>
      </c>
      <c r="U16" s="117" t="s">
        <v>32</v>
      </c>
      <c r="V16" s="124" t="s">
        <v>34</v>
      </c>
      <c r="W16" s="117" t="s">
        <v>35</v>
      </c>
      <c r="X16" s="117" t="s">
        <v>41</v>
      </c>
      <c r="Y16" s="117" t="s">
        <v>39</v>
      </c>
      <c r="Z16" s="117" t="s">
        <v>40</v>
      </c>
      <c r="AA16" s="117" t="s">
        <v>38</v>
      </c>
      <c r="AB16" s="117"/>
      <c r="AC16" s="117"/>
      <c r="AD16" s="117"/>
      <c r="AE16" s="117"/>
      <c r="AF16" s="117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9"/>
    </row>
    <row r="17" spans="1:64" ht="12.75">
      <c r="A17" s="110">
        <v>16</v>
      </c>
      <c r="B17" s="111" t="s">
        <v>29</v>
      </c>
      <c r="C17" s="112" t="s">
        <v>12</v>
      </c>
      <c r="D17" s="113" t="s">
        <v>13</v>
      </c>
      <c r="E17" s="112" t="s">
        <v>14</v>
      </c>
      <c r="F17" s="112" t="s">
        <v>26</v>
      </c>
      <c r="G17" s="112" t="s">
        <v>15</v>
      </c>
      <c r="H17" s="112" t="s">
        <v>16</v>
      </c>
      <c r="I17" s="112" t="s">
        <v>17</v>
      </c>
      <c r="J17" s="112" t="s">
        <v>28</v>
      </c>
      <c r="K17" s="112" t="s">
        <v>18</v>
      </c>
      <c r="L17" s="112" t="s">
        <v>19</v>
      </c>
      <c r="M17" s="112" t="s">
        <v>20</v>
      </c>
      <c r="N17" s="112" t="s">
        <v>21</v>
      </c>
      <c r="O17" s="112" t="s">
        <v>22</v>
      </c>
      <c r="P17" s="112" t="s">
        <v>23</v>
      </c>
      <c r="Q17" s="112" t="s">
        <v>24</v>
      </c>
      <c r="R17" s="117" t="s">
        <v>36</v>
      </c>
      <c r="S17" s="117" t="s">
        <v>31</v>
      </c>
      <c r="T17" s="117" t="s">
        <v>30</v>
      </c>
      <c r="U17" s="117" t="s">
        <v>33</v>
      </c>
      <c r="V17" s="117" t="s">
        <v>37</v>
      </c>
      <c r="W17" s="117" t="s">
        <v>32</v>
      </c>
      <c r="X17" s="117" t="s">
        <v>34</v>
      </c>
      <c r="Y17" s="117" t="s">
        <v>35</v>
      </c>
      <c r="Z17" s="117" t="s">
        <v>41</v>
      </c>
      <c r="AA17" s="117" t="s">
        <v>39</v>
      </c>
      <c r="AB17" s="117" t="s">
        <v>40</v>
      </c>
      <c r="AC17" s="117" t="s">
        <v>38</v>
      </c>
      <c r="AD17" s="117"/>
      <c r="AE17" s="117"/>
      <c r="AF17" s="117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9"/>
    </row>
    <row r="18" spans="1:64" ht="12.75">
      <c r="A18" s="110">
        <v>17</v>
      </c>
      <c r="B18" s="111" t="s">
        <v>6</v>
      </c>
      <c r="C18" s="112" t="s">
        <v>7</v>
      </c>
      <c r="D18" s="113" t="s">
        <v>28</v>
      </c>
      <c r="E18" s="112" t="s">
        <v>18</v>
      </c>
      <c r="F18" s="112" t="s">
        <v>19</v>
      </c>
      <c r="G18" s="112" t="s">
        <v>20</v>
      </c>
      <c r="H18" s="112" t="s">
        <v>21</v>
      </c>
      <c r="I18" s="112" t="s">
        <v>22</v>
      </c>
      <c r="J18" s="112" t="s">
        <v>23</v>
      </c>
      <c r="K18" s="112" t="s">
        <v>24</v>
      </c>
      <c r="L18" s="112" t="s">
        <v>12</v>
      </c>
      <c r="M18" s="112" t="s">
        <v>13</v>
      </c>
      <c r="N18" s="112" t="s">
        <v>14</v>
      </c>
      <c r="O18" s="112" t="s">
        <v>26</v>
      </c>
      <c r="P18" s="112" t="s">
        <v>15</v>
      </c>
      <c r="Q18" s="112" t="s">
        <v>16</v>
      </c>
      <c r="R18" s="112" t="s">
        <v>17</v>
      </c>
      <c r="S18" s="117" t="s">
        <v>37</v>
      </c>
      <c r="T18" s="117" t="s">
        <v>32</v>
      </c>
      <c r="U18" s="117" t="s">
        <v>34</v>
      </c>
      <c r="V18" s="117" t="s">
        <v>35</v>
      </c>
      <c r="W18" s="117" t="s">
        <v>36</v>
      </c>
      <c r="X18" s="117" t="s">
        <v>31</v>
      </c>
      <c r="Y18" s="117" t="s">
        <v>30</v>
      </c>
      <c r="Z18" s="117" t="s">
        <v>33</v>
      </c>
      <c r="AA18" s="117" t="s">
        <v>40</v>
      </c>
      <c r="AB18" s="117" t="s">
        <v>38</v>
      </c>
      <c r="AC18" s="117" t="s">
        <v>41</v>
      </c>
      <c r="AD18" s="117" t="s">
        <v>39</v>
      </c>
      <c r="AE18" s="117"/>
      <c r="AF18" s="117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9"/>
    </row>
    <row r="19" spans="1:64" ht="12.75">
      <c r="A19" s="110">
        <v>18</v>
      </c>
      <c r="B19" s="111" t="s">
        <v>6</v>
      </c>
      <c r="C19" s="112" t="s">
        <v>7</v>
      </c>
      <c r="D19" s="113" t="s">
        <v>10</v>
      </c>
      <c r="E19" s="112" t="s">
        <v>11</v>
      </c>
      <c r="F19" s="112" t="s">
        <v>12</v>
      </c>
      <c r="G19" s="112" t="s">
        <v>13</v>
      </c>
      <c r="H19" s="112" t="s">
        <v>14</v>
      </c>
      <c r="I19" s="112" t="s">
        <v>26</v>
      </c>
      <c r="J19" s="112" t="s">
        <v>15</v>
      </c>
      <c r="K19" s="112" t="s">
        <v>16</v>
      </c>
      <c r="L19" s="112" t="s">
        <v>17</v>
      </c>
      <c r="M19" s="112" t="s">
        <v>18</v>
      </c>
      <c r="N19" s="112" t="s">
        <v>19</v>
      </c>
      <c r="O19" s="112" t="s">
        <v>20</v>
      </c>
      <c r="P19" s="112" t="s">
        <v>21</v>
      </c>
      <c r="Q19" s="112" t="s">
        <v>22</v>
      </c>
      <c r="R19" s="112" t="s">
        <v>23</v>
      </c>
      <c r="S19" s="112" t="s">
        <v>24</v>
      </c>
      <c r="T19" s="117" t="s">
        <v>36</v>
      </c>
      <c r="U19" s="117" t="s">
        <v>31</v>
      </c>
      <c r="V19" s="117" t="s">
        <v>30</v>
      </c>
      <c r="W19" s="117" t="s">
        <v>33</v>
      </c>
      <c r="X19" s="117" t="s">
        <v>37</v>
      </c>
      <c r="Y19" s="117" t="s">
        <v>32</v>
      </c>
      <c r="Z19" s="117" t="s">
        <v>34</v>
      </c>
      <c r="AA19" s="117" t="s">
        <v>35</v>
      </c>
      <c r="AB19" s="117" t="s">
        <v>41</v>
      </c>
      <c r="AC19" s="117" t="s">
        <v>39</v>
      </c>
      <c r="AD19" s="117" t="s">
        <v>40</v>
      </c>
      <c r="AE19" s="117" t="s">
        <v>38</v>
      </c>
      <c r="AF19" s="117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9"/>
    </row>
    <row r="20" spans="1:64" ht="12.75">
      <c r="A20" s="110">
        <v>19</v>
      </c>
      <c r="B20" s="111" t="s">
        <v>6</v>
      </c>
      <c r="C20" s="112" t="s">
        <v>7</v>
      </c>
      <c r="D20" s="113" t="s">
        <v>8</v>
      </c>
      <c r="E20" s="112" t="s">
        <v>9</v>
      </c>
      <c r="F20" s="112" t="s">
        <v>10</v>
      </c>
      <c r="G20" s="112" t="s">
        <v>11</v>
      </c>
      <c r="H20" s="112" t="s">
        <v>12</v>
      </c>
      <c r="I20" s="112" t="s">
        <v>13</v>
      </c>
      <c r="J20" s="112" t="s">
        <v>14</v>
      </c>
      <c r="K20" s="112" t="s">
        <v>15</v>
      </c>
      <c r="L20" s="112" t="s">
        <v>16</v>
      </c>
      <c r="M20" s="112" t="s">
        <v>17</v>
      </c>
      <c r="N20" s="112" t="s">
        <v>18</v>
      </c>
      <c r="O20" s="112" t="s">
        <v>19</v>
      </c>
      <c r="P20" s="112" t="s">
        <v>20</v>
      </c>
      <c r="Q20" s="112" t="s">
        <v>21</v>
      </c>
      <c r="R20" s="112" t="s">
        <v>22</v>
      </c>
      <c r="S20" s="112" t="s">
        <v>23</v>
      </c>
      <c r="T20" s="112" t="s">
        <v>24</v>
      </c>
      <c r="U20" s="117" t="s">
        <v>36</v>
      </c>
      <c r="V20" s="117" t="s">
        <v>31</v>
      </c>
      <c r="W20" s="117" t="s">
        <v>30</v>
      </c>
      <c r="X20" s="117" t="s">
        <v>33</v>
      </c>
      <c r="Y20" s="117" t="s">
        <v>37</v>
      </c>
      <c r="Z20" s="117" t="s">
        <v>32</v>
      </c>
      <c r="AA20" s="117" t="s">
        <v>34</v>
      </c>
      <c r="AB20" s="117" t="s">
        <v>35</v>
      </c>
      <c r="AC20" s="117" t="s">
        <v>41</v>
      </c>
      <c r="AD20" s="117" t="s">
        <v>39</v>
      </c>
      <c r="AE20" s="117" t="s">
        <v>40</v>
      </c>
      <c r="AF20" s="117" t="s">
        <v>38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9"/>
    </row>
    <row r="21" spans="1:64" ht="12.75">
      <c r="A21" s="110">
        <v>20</v>
      </c>
      <c r="B21" s="111" t="s">
        <v>6</v>
      </c>
      <c r="C21" s="112" t="s">
        <v>7</v>
      </c>
      <c r="D21" s="113" t="s">
        <v>8</v>
      </c>
      <c r="E21" s="112" t="s">
        <v>9</v>
      </c>
      <c r="F21" s="112" t="s">
        <v>10</v>
      </c>
      <c r="G21" s="112" t="s">
        <v>11</v>
      </c>
      <c r="H21" s="3" t="s">
        <v>45</v>
      </c>
      <c r="I21" s="3" t="s">
        <v>46</v>
      </c>
      <c r="J21" s="112" t="s">
        <v>12</v>
      </c>
      <c r="K21" s="112" t="s">
        <v>13</v>
      </c>
      <c r="L21" s="112" t="s">
        <v>14</v>
      </c>
      <c r="M21" s="112" t="s">
        <v>15</v>
      </c>
      <c r="N21" s="112" t="s">
        <v>16</v>
      </c>
      <c r="O21" s="112" t="s">
        <v>17</v>
      </c>
      <c r="P21" s="112" t="s">
        <v>18</v>
      </c>
      <c r="Q21" s="112" t="s">
        <v>19</v>
      </c>
      <c r="R21" s="112" t="s">
        <v>20</v>
      </c>
      <c r="S21" s="112" t="s">
        <v>22</v>
      </c>
      <c r="T21" s="112" t="s">
        <v>23</v>
      </c>
      <c r="U21" s="112" t="s">
        <v>24</v>
      </c>
      <c r="V21" s="117" t="s">
        <v>36</v>
      </c>
      <c r="W21" s="117" t="s">
        <v>31</v>
      </c>
      <c r="X21" s="117" t="s">
        <v>30</v>
      </c>
      <c r="Y21" s="117" t="s">
        <v>33</v>
      </c>
      <c r="Z21" s="117" t="s">
        <v>37</v>
      </c>
      <c r="AA21" s="117" t="s">
        <v>32</v>
      </c>
      <c r="AB21" s="117" t="s">
        <v>34</v>
      </c>
      <c r="AC21" s="117" t="s">
        <v>35</v>
      </c>
      <c r="AD21" s="117" t="s">
        <v>41</v>
      </c>
      <c r="AE21" s="117" t="s">
        <v>39</v>
      </c>
      <c r="AF21" s="117" t="s">
        <v>40</v>
      </c>
      <c r="AG21" s="117" t="s">
        <v>38</v>
      </c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 t="s">
        <v>38</v>
      </c>
    </row>
    <row r="22" spans="1:64" ht="12.75">
      <c r="A22" s="110">
        <v>21</v>
      </c>
      <c r="B22" s="111" t="s">
        <v>6</v>
      </c>
      <c r="C22" s="112" t="s">
        <v>7</v>
      </c>
      <c r="D22" s="113" t="s">
        <v>194</v>
      </c>
      <c r="E22" s="112" t="s">
        <v>129</v>
      </c>
      <c r="F22" s="121" t="s">
        <v>8</v>
      </c>
      <c r="G22" s="121" t="s">
        <v>9</v>
      </c>
      <c r="H22" s="121" t="s">
        <v>10</v>
      </c>
      <c r="I22" s="121" t="s">
        <v>11</v>
      </c>
      <c r="J22" s="121" t="s">
        <v>45</v>
      </c>
      <c r="K22" s="121" t="s">
        <v>46</v>
      </c>
      <c r="L22" s="121" t="s">
        <v>12</v>
      </c>
      <c r="M22" s="121" t="s">
        <v>14</v>
      </c>
      <c r="N22" s="121" t="s">
        <v>15</v>
      </c>
      <c r="O22" s="121" t="s">
        <v>16</v>
      </c>
      <c r="P22" s="121" t="s">
        <v>17</v>
      </c>
      <c r="Q22" s="121" t="s">
        <v>18</v>
      </c>
      <c r="R22" s="121" t="s">
        <v>19</v>
      </c>
      <c r="S22" s="121" t="s">
        <v>20</v>
      </c>
      <c r="T22" s="121" t="s">
        <v>22</v>
      </c>
      <c r="U22" s="112" t="s">
        <v>23</v>
      </c>
      <c r="V22" s="112" t="s">
        <v>24</v>
      </c>
      <c r="W22" s="117" t="s">
        <v>36</v>
      </c>
      <c r="X22" s="117" t="s">
        <v>31</v>
      </c>
      <c r="Y22" s="117" t="s">
        <v>30</v>
      </c>
      <c r="Z22" s="117" t="s">
        <v>33</v>
      </c>
      <c r="AA22" s="117" t="s">
        <v>37</v>
      </c>
      <c r="AB22" s="117" t="s">
        <v>32</v>
      </c>
      <c r="AC22" s="117" t="s">
        <v>34</v>
      </c>
      <c r="AD22" s="117" t="s">
        <v>35</v>
      </c>
      <c r="AE22" s="117" t="s">
        <v>41</v>
      </c>
      <c r="AF22" s="117" t="s">
        <v>39</v>
      </c>
      <c r="AG22" s="117" t="s">
        <v>40</v>
      </c>
      <c r="AH22" s="118" t="s">
        <v>38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9"/>
    </row>
    <row r="23" spans="1:64" ht="12.75">
      <c r="A23" s="110">
        <v>22</v>
      </c>
      <c r="B23" s="111" t="s">
        <v>6</v>
      </c>
      <c r="C23" s="112" t="s">
        <v>7</v>
      </c>
      <c r="D23" s="113" t="s">
        <v>194</v>
      </c>
      <c r="E23" s="112" t="s">
        <v>129</v>
      </c>
      <c r="F23" s="121" t="s">
        <v>8</v>
      </c>
      <c r="G23" s="121" t="s">
        <v>9</v>
      </c>
      <c r="H23" s="121" t="s">
        <v>10</v>
      </c>
      <c r="I23" s="121" t="s">
        <v>11</v>
      </c>
      <c r="J23" s="112" t="s">
        <v>195</v>
      </c>
      <c r="K23" s="112" t="s">
        <v>140</v>
      </c>
      <c r="L23" s="121" t="s">
        <v>45</v>
      </c>
      <c r="M23" s="121" t="s">
        <v>46</v>
      </c>
      <c r="N23" s="121" t="s">
        <v>12</v>
      </c>
      <c r="O23" s="121" t="s">
        <v>14</v>
      </c>
      <c r="P23" s="121" t="s">
        <v>15</v>
      </c>
      <c r="Q23" s="121" t="s">
        <v>16</v>
      </c>
      <c r="R23" s="121" t="s">
        <v>17</v>
      </c>
      <c r="S23" s="121" t="s">
        <v>18</v>
      </c>
      <c r="T23" s="112" t="s">
        <v>20</v>
      </c>
      <c r="U23" s="112" t="s">
        <v>22</v>
      </c>
      <c r="V23" s="112" t="s">
        <v>23</v>
      </c>
      <c r="W23" s="112" t="s">
        <v>24</v>
      </c>
      <c r="X23" s="117" t="s">
        <v>36</v>
      </c>
      <c r="Y23" s="117" t="s">
        <v>31</v>
      </c>
      <c r="Z23" s="117" t="s">
        <v>30</v>
      </c>
      <c r="AA23" s="117" t="s">
        <v>33</v>
      </c>
      <c r="AB23" s="117" t="s">
        <v>37</v>
      </c>
      <c r="AC23" s="117" t="s">
        <v>32</v>
      </c>
      <c r="AD23" s="117" t="s">
        <v>34</v>
      </c>
      <c r="AE23" s="117" t="s">
        <v>35</v>
      </c>
      <c r="AF23" s="117" t="s">
        <v>41</v>
      </c>
      <c r="AG23" s="117" t="s">
        <v>39</v>
      </c>
      <c r="AH23" s="117" t="s">
        <v>40</v>
      </c>
      <c r="AI23" s="118" t="s">
        <v>38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9"/>
    </row>
    <row r="24" spans="1:64" ht="12.75">
      <c r="A24" s="110">
        <v>23</v>
      </c>
      <c r="B24" s="111" t="s">
        <v>6</v>
      </c>
      <c r="C24" s="112" t="s">
        <v>7</v>
      </c>
      <c r="D24" s="113" t="s">
        <v>194</v>
      </c>
      <c r="E24" s="112" t="s">
        <v>129</v>
      </c>
      <c r="F24" s="121" t="s">
        <v>8</v>
      </c>
      <c r="G24" s="121" t="s">
        <v>9</v>
      </c>
      <c r="H24" s="121" t="s">
        <v>134</v>
      </c>
      <c r="I24" s="121" t="s">
        <v>135</v>
      </c>
      <c r="J24" s="121" t="s">
        <v>195</v>
      </c>
      <c r="K24" s="121" t="s">
        <v>140</v>
      </c>
      <c r="L24" s="121" t="s">
        <v>45</v>
      </c>
      <c r="M24" s="121" t="s">
        <v>46</v>
      </c>
      <c r="N24" s="121" t="s">
        <v>145</v>
      </c>
      <c r="O24" s="121" t="s">
        <v>146</v>
      </c>
      <c r="P24" s="121" t="s">
        <v>12</v>
      </c>
      <c r="Q24" s="121" t="s">
        <v>14</v>
      </c>
      <c r="R24" s="121" t="s">
        <v>15</v>
      </c>
      <c r="S24" s="121" t="s">
        <v>17</v>
      </c>
      <c r="T24" s="112" t="s">
        <v>28</v>
      </c>
      <c r="U24" s="112" t="s">
        <v>18</v>
      </c>
      <c r="V24" s="112" t="s">
        <v>20</v>
      </c>
      <c r="W24" s="112" t="s">
        <v>22</v>
      </c>
      <c r="X24" s="121" t="s">
        <v>24</v>
      </c>
      <c r="Y24" s="117" t="s">
        <v>36</v>
      </c>
      <c r="Z24" s="117" t="s">
        <v>31</v>
      </c>
      <c r="AA24" s="117" t="s">
        <v>30</v>
      </c>
      <c r="AB24" s="117" t="s">
        <v>33</v>
      </c>
      <c r="AC24" s="117" t="s">
        <v>37</v>
      </c>
      <c r="AD24" s="117" t="s">
        <v>32</v>
      </c>
      <c r="AE24" s="117" t="s">
        <v>34</v>
      </c>
      <c r="AF24" s="117" t="s">
        <v>35</v>
      </c>
      <c r="AG24" s="117" t="s">
        <v>41</v>
      </c>
      <c r="AH24" s="117" t="s">
        <v>39</v>
      </c>
      <c r="AI24" s="117" t="s">
        <v>40</v>
      </c>
      <c r="AJ24" s="118" t="s">
        <v>38</v>
      </c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64" ht="12.75">
      <c r="A25" s="110">
        <v>24</v>
      </c>
      <c r="B25" s="111" t="s">
        <v>6</v>
      </c>
      <c r="C25" s="112" t="s">
        <v>7</v>
      </c>
      <c r="D25" s="113" t="s">
        <v>194</v>
      </c>
      <c r="E25" s="112" t="s">
        <v>129</v>
      </c>
      <c r="F25" s="121" t="s">
        <v>8</v>
      </c>
      <c r="G25" s="121" t="s">
        <v>9</v>
      </c>
      <c r="H25" s="121" t="s">
        <v>134</v>
      </c>
      <c r="I25" s="121" t="s">
        <v>135</v>
      </c>
      <c r="J25" s="112" t="s">
        <v>10</v>
      </c>
      <c r="K25" s="112" t="s">
        <v>11</v>
      </c>
      <c r="L25" s="112" t="s">
        <v>195</v>
      </c>
      <c r="M25" s="112" t="s">
        <v>140</v>
      </c>
      <c r="N25" s="121" t="s">
        <v>45</v>
      </c>
      <c r="O25" s="121" t="s">
        <v>46</v>
      </c>
      <c r="P25" s="121" t="s">
        <v>145</v>
      </c>
      <c r="Q25" s="121" t="s">
        <v>146</v>
      </c>
      <c r="R25" s="121" t="s">
        <v>12</v>
      </c>
      <c r="S25" s="121" t="s">
        <v>14</v>
      </c>
      <c r="T25" s="121" t="s">
        <v>15</v>
      </c>
      <c r="U25" s="121" t="s">
        <v>17</v>
      </c>
      <c r="V25" s="112" t="s">
        <v>18</v>
      </c>
      <c r="W25" s="112" t="s">
        <v>20</v>
      </c>
      <c r="X25" s="112" t="s">
        <v>22</v>
      </c>
      <c r="Y25" s="112" t="s">
        <v>24</v>
      </c>
      <c r="Z25" s="117" t="s">
        <v>36</v>
      </c>
      <c r="AA25" s="117" t="s">
        <v>31</v>
      </c>
      <c r="AB25" s="117" t="s">
        <v>30</v>
      </c>
      <c r="AC25" s="117" t="s">
        <v>33</v>
      </c>
      <c r="AD25" s="117" t="s">
        <v>37</v>
      </c>
      <c r="AE25" s="117" t="s">
        <v>32</v>
      </c>
      <c r="AF25" s="117" t="s">
        <v>34</v>
      </c>
      <c r="AG25" s="117" t="s">
        <v>35</v>
      </c>
      <c r="AH25" s="117" t="s">
        <v>41</v>
      </c>
      <c r="AI25" s="117" t="s">
        <v>39</v>
      </c>
      <c r="AJ25" s="117" t="s">
        <v>40</v>
      </c>
      <c r="AK25" s="118" t="s">
        <v>38</v>
      </c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9"/>
    </row>
    <row r="26" spans="1:64" ht="12.75">
      <c r="A26" s="110">
        <v>25</v>
      </c>
      <c r="B26" s="111" t="s">
        <v>6</v>
      </c>
      <c r="C26" s="112" t="s">
        <v>7</v>
      </c>
      <c r="D26" s="113" t="s">
        <v>194</v>
      </c>
      <c r="E26" s="112" t="s">
        <v>129</v>
      </c>
      <c r="F26" s="121" t="s">
        <v>8</v>
      </c>
      <c r="G26" s="121" t="s">
        <v>9</v>
      </c>
      <c r="H26" s="121" t="s">
        <v>134</v>
      </c>
      <c r="I26" s="121" t="s">
        <v>135</v>
      </c>
      <c r="J26" s="112" t="s">
        <v>10</v>
      </c>
      <c r="K26" s="112" t="s">
        <v>11</v>
      </c>
      <c r="L26" s="112" t="s">
        <v>195</v>
      </c>
      <c r="M26" s="112" t="s">
        <v>140</v>
      </c>
      <c r="N26" s="121" t="s">
        <v>45</v>
      </c>
      <c r="O26" s="121" t="s">
        <v>46</v>
      </c>
      <c r="P26" s="121" t="s">
        <v>145</v>
      </c>
      <c r="Q26" s="121" t="s">
        <v>146</v>
      </c>
      <c r="R26" s="120" t="s">
        <v>147</v>
      </c>
      <c r="S26" s="121" t="s">
        <v>148</v>
      </c>
      <c r="T26" s="121" t="s">
        <v>12</v>
      </c>
      <c r="U26" s="121" t="s">
        <v>14</v>
      </c>
      <c r="V26" s="121" t="s">
        <v>15</v>
      </c>
      <c r="W26" s="121" t="s">
        <v>17</v>
      </c>
      <c r="X26" s="112" t="s">
        <v>18</v>
      </c>
      <c r="Y26" s="112" t="s">
        <v>20</v>
      </c>
      <c r="Z26" s="112" t="s">
        <v>22</v>
      </c>
      <c r="AA26" s="117" t="s">
        <v>23</v>
      </c>
      <c r="AB26" s="117" t="s">
        <v>24</v>
      </c>
      <c r="AC26" s="117" t="s">
        <v>36</v>
      </c>
      <c r="AD26" s="117" t="s">
        <v>31</v>
      </c>
      <c r="AE26" s="117" t="s">
        <v>30</v>
      </c>
      <c r="AF26" s="117" t="s">
        <v>33</v>
      </c>
      <c r="AG26" s="117" t="s">
        <v>37</v>
      </c>
      <c r="AH26" s="117" t="s">
        <v>32</v>
      </c>
      <c r="AI26" s="117" t="s">
        <v>34</v>
      </c>
      <c r="AJ26" s="117" t="s">
        <v>35</v>
      </c>
      <c r="AK26" s="117" t="s">
        <v>41</v>
      </c>
      <c r="AL26" s="117" t="s">
        <v>39</v>
      </c>
      <c r="AM26" s="117" t="s">
        <v>40</v>
      </c>
      <c r="AN26" s="118" t="s">
        <v>38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9"/>
    </row>
    <row r="27" spans="1:64" ht="12.75">
      <c r="A27" s="110">
        <v>26</v>
      </c>
      <c r="B27" s="111" t="s">
        <v>6</v>
      </c>
      <c r="C27" s="112" t="s">
        <v>7</v>
      </c>
      <c r="D27" s="113" t="s">
        <v>194</v>
      </c>
      <c r="E27" s="112" t="s">
        <v>129</v>
      </c>
      <c r="F27" s="121" t="s">
        <v>8</v>
      </c>
      <c r="G27" s="121" t="s">
        <v>9</v>
      </c>
      <c r="H27" s="121" t="s">
        <v>134</v>
      </c>
      <c r="I27" s="121" t="s">
        <v>135</v>
      </c>
      <c r="J27" s="112" t="s">
        <v>136</v>
      </c>
      <c r="K27" s="112" t="s">
        <v>137</v>
      </c>
      <c r="L27" s="112" t="s">
        <v>10</v>
      </c>
      <c r="M27" s="112" t="s">
        <v>11</v>
      </c>
      <c r="N27" s="112" t="s">
        <v>195</v>
      </c>
      <c r="O27" s="112" t="s">
        <v>140</v>
      </c>
      <c r="P27" s="112" t="s">
        <v>45</v>
      </c>
      <c r="Q27" s="112" t="s">
        <v>46</v>
      </c>
      <c r="R27" s="112" t="s">
        <v>145</v>
      </c>
      <c r="S27" s="112" t="s">
        <v>146</v>
      </c>
      <c r="T27" s="112" t="s">
        <v>147</v>
      </c>
      <c r="U27" s="112" t="s">
        <v>148</v>
      </c>
      <c r="V27" s="112" t="s">
        <v>12</v>
      </c>
      <c r="W27" s="112" t="s">
        <v>14</v>
      </c>
      <c r="X27" s="112" t="s">
        <v>15</v>
      </c>
      <c r="Y27" s="120" t="s">
        <v>16</v>
      </c>
      <c r="Z27" s="120" t="s">
        <v>17</v>
      </c>
      <c r="AA27" s="112" t="s">
        <v>18</v>
      </c>
      <c r="AB27" s="112" t="s">
        <v>20</v>
      </c>
      <c r="AC27" s="112" t="s">
        <v>22</v>
      </c>
      <c r="AD27" s="112" t="s">
        <v>23</v>
      </c>
      <c r="AE27" s="112" t="s">
        <v>24</v>
      </c>
      <c r="AF27" s="117" t="s">
        <v>36</v>
      </c>
      <c r="AG27" s="117" t="s">
        <v>31</v>
      </c>
      <c r="AH27" s="117" t="s">
        <v>30</v>
      </c>
      <c r="AI27" s="117" t="s">
        <v>33</v>
      </c>
      <c r="AJ27" s="117" t="s">
        <v>37</v>
      </c>
      <c r="AK27" s="117" t="s">
        <v>32</v>
      </c>
      <c r="AL27" s="117" t="s">
        <v>34</v>
      </c>
      <c r="AM27" s="117" t="s">
        <v>35</v>
      </c>
      <c r="AN27" s="117" t="s">
        <v>41</v>
      </c>
      <c r="AO27" s="117" t="s">
        <v>39</v>
      </c>
      <c r="AP27" s="117" t="s">
        <v>40</v>
      </c>
      <c r="AQ27" s="118" t="s">
        <v>38</v>
      </c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</row>
    <row r="28" spans="1:64" ht="12.75">
      <c r="A28" s="110">
        <v>27</v>
      </c>
      <c r="B28" s="111" t="s">
        <v>6</v>
      </c>
      <c r="C28" s="112" t="s">
        <v>7</v>
      </c>
      <c r="D28" s="113" t="s">
        <v>194</v>
      </c>
      <c r="E28" s="112" t="s">
        <v>129</v>
      </c>
      <c r="F28" s="121" t="s">
        <v>8</v>
      </c>
      <c r="G28" s="121" t="s">
        <v>9</v>
      </c>
      <c r="H28" s="121" t="s">
        <v>134</v>
      </c>
      <c r="I28" s="121" t="s">
        <v>135</v>
      </c>
      <c r="J28" s="112" t="s">
        <v>136</v>
      </c>
      <c r="K28" s="112" t="s">
        <v>137</v>
      </c>
      <c r="L28" s="112" t="s">
        <v>10</v>
      </c>
      <c r="M28" s="112" t="s">
        <v>11</v>
      </c>
      <c r="N28" s="112" t="s">
        <v>195</v>
      </c>
      <c r="O28" s="112" t="s">
        <v>140</v>
      </c>
      <c r="P28" s="112" t="s">
        <v>141</v>
      </c>
      <c r="Q28" s="112" t="s">
        <v>142</v>
      </c>
      <c r="R28" s="112" t="s">
        <v>45</v>
      </c>
      <c r="S28" s="112" t="s">
        <v>46</v>
      </c>
      <c r="T28" s="112" t="s">
        <v>145</v>
      </c>
      <c r="U28" s="112" t="s">
        <v>146</v>
      </c>
      <c r="V28" s="112" t="s">
        <v>147</v>
      </c>
      <c r="W28" s="112" t="s">
        <v>148</v>
      </c>
      <c r="X28" s="112" t="s">
        <v>12</v>
      </c>
      <c r="Y28" s="112" t="s">
        <v>14</v>
      </c>
      <c r="Z28" s="112" t="s">
        <v>15</v>
      </c>
      <c r="AA28" s="112" t="s">
        <v>16</v>
      </c>
      <c r="AB28" s="112" t="s">
        <v>17</v>
      </c>
      <c r="AC28" s="112" t="s">
        <v>18</v>
      </c>
      <c r="AD28" s="112" t="s">
        <v>19</v>
      </c>
      <c r="AE28" s="112" t="s">
        <v>20</v>
      </c>
      <c r="AF28" s="112" t="s">
        <v>22</v>
      </c>
      <c r="AG28" s="121" t="s">
        <v>23</v>
      </c>
      <c r="AH28" s="121" t="s">
        <v>24</v>
      </c>
      <c r="AI28" s="117" t="s">
        <v>36</v>
      </c>
      <c r="AJ28" s="117" t="s">
        <v>31</v>
      </c>
      <c r="AK28" s="117" t="s">
        <v>30</v>
      </c>
      <c r="AL28" s="117" t="s">
        <v>33</v>
      </c>
      <c r="AM28" s="117" t="s">
        <v>37</v>
      </c>
      <c r="AN28" s="117" t="s">
        <v>32</v>
      </c>
      <c r="AO28" s="117" t="s">
        <v>34</v>
      </c>
      <c r="AP28" s="117" t="s">
        <v>35</v>
      </c>
      <c r="AQ28" s="117" t="s">
        <v>41</v>
      </c>
      <c r="AR28" s="117" t="s">
        <v>39</v>
      </c>
      <c r="AS28" s="117" t="s">
        <v>40</v>
      </c>
      <c r="AT28" s="118" t="s">
        <v>38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9"/>
    </row>
    <row r="29" spans="1:64" ht="12.75">
      <c r="A29" s="110">
        <v>28</v>
      </c>
      <c r="B29" s="111" t="s">
        <v>6</v>
      </c>
      <c r="C29" s="112" t="s">
        <v>7</v>
      </c>
      <c r="D29" s="113" t="s">
        <v>127</v>
      </c>
      <c r="E29" s="112" t="s">
        <v>128</v>
      </c>
      <c r="F29" s="112" t="s">
        <v>194</v>
      </c>
      <c r="G29" s="112" t="s">
        <v>129</v>
      </c>
      <c r="H29" s="112" t="s">
        <v>130</v>
      </c>
      <c r="I29" s="112" t="s">
        <v>131</v>
      </c>
      <c r="J29" s="121" t="s">
        <v>8</v>
      </c>
      <c r="K29" s="121" t="s">
        <v>9</v>
      </c>
      <c r="L29" s="112" t="s">
        <v>132</v>
      </c>
      <c r="M29" s="112" t="s">
        <v>133</v>
      </c>
      <c r="N29" s="112" t="s">
        <v>10</v>
      </c>
      <c r="O29" s="112" t="s">
        <v>11</v>
      </c>
      <c r="P29" s="112" t="s">
        <v>138</v>
      </c>
      <c r="Q29" s="112" t="s">
        <v>139</v>
      </c>
      <c r="R29" s="112" t="s">
        <v>195</v>
      </c>
      <c r="S29" s="112" t="s">
        <v>140</v>
      </c>
      <c r="T29" s="112" t="s">
        <v>141</v>
      </c>
      <c r="U29" s="112" t="s">
        <v>142</v>
      </c>
      <c r="V29" s="112" t="s">
        <v>45</v>
      </c>
      <c r="W29" s="112" t="s">
        <v>46</v>
      </c>
      <c r="X29" s="112" t="s">
        <v>143</v>
      </c>
      <c r="Y29" s="112" t="s">
        <v>144</v>
      </c>
      <c r="Z29" s="112" t="s">
        <v>29</v>
      </c>
      <c r="AA29" s="112" t="s">
        <v>12</v>
      </c>
      <c r="AB29" s="112" t="s">
        <v>13</v>
      </c>
      <c r="AC29" s="112" t="s">
        <v>14</v>
      </c>
      <c r="AD29" s="112" t="s">
        <v>26</v>
      </c>
      <c r="AE29" s="112" t="s">
        <v>15</v>
      </c>
      <c r="AF29" s="112" t="s">
        <v>16</v>
      </c>
      <c r="AG29" s="114" t="s">
        <v>17</v>
      </c>
      <c r="AH29" s="114" t="s">
        <v>28</v>
      </c>
      <c r="AI29" s="114" t="s">
        <v>18</v>
      </c>
      <c r="AJ29" s="114" t="s">
        <v>19</v>
      </c>
      <c r="AK29" s="114" t="s">
        <v>20</v>
      </c>
      <c r="AL29" s="114" t="s">
        <v>21</v>
      </c>
      <c r="AM29" s="114" t="s">
        <v>22</v>
      </c>
      <c r="AN29" s="114" t="s">
        <v>23</v>
      </c>
      <c r="AO29" s="114" t="s">
        <v>24</v>
      </c>
      <c r="AP29" s="117" t="s">
        <v>36</v>
      </c>
      <c r="AQ29" s="117" t="s">
        <v>31</v>
      </c>
      <c r="AR29" s="117" t="s">
        <v>30</v>
      </c>
      <c r="AS29" s="117" t="s">
        <v>33</v>
      </c>
      <c r="AT29" s="117" t="s">
        <v>37</v>
      </c>
      <c r="AU29" s="117" t="s">
        <v>32</v>
      </c>
      <c r="AV29" s="117" t="s">
        <v>34</v>
      </c>
      <c r="AW29" s="117" t="s">
        <v>35</v>
      </c>
      <c r="AX29" s="117" t="s">
        <v>41</v>
      </c>
      <c r="AY29" s="117" t="s">
        <v>39</v>
      </c>
      <c r="AZ29" s="117" t="s">
        <v>40</v>
      </c>
      <c r="BA29" s="118" t="s">
        <v>38</v>
      </c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64" ht="12.75">
      <c r="A30" s="110">
        <v>29</v>
      </c>
      <c r="B30" s="111" t="s">
        <v>6</v>
      </c>
      <c r="C30" s="112" t="s">
        <v>7</v>
      </c>
      <c r="D30" s="113" t="s">
        <v>127</v>
      </c>
      <c r="E30" s="112" t="s">
        <v>128</v>
      </c>
      <c r="F30" s="112" t="s">
        <v>194</v>
      </c>
      <c r="G30" s="112" t="s">
        <v>129</v>
      </c>
      <c r="H30" s="112" t="s">
        <v>130</v>
      </c>
      <c r="I30" s="112" t="s">
        <v>131</v>
      </c>
      <c r="J30" s="121" t="s">
        <v>8</v>
      </c>
      <c r="K30" s="121" t="s">
        <v>9</v>
      </c>
      <c r="L30" s="112" t="s">
        <v>132</v>
      </c>
      <c r="M30" s="112" t="s">
        <v>133</v>
      </c>
      <c r="N30" s="121" t="s">
        <v>134</v>
      </c>
      <c r="O30" s="121" t="s">
        <v>135</v>
      </c>
      <c r="P30" s="112" t="s">
        <v>10</v>
      </c>
      <c r="Q30" s="112" t="s">
        <v>11</v>
      </c>
      <c r="R30" s="112" t="s">
        <v>138</v>
      </c>
      <c r="S30" s="112" t="s">
        <v>139</v>
      </c>
      <c r="T30" s="112" t="s">
        <v>195</v>
      </c>
      <c r="U30" s="112" t="s">
        <v>140</v>
      </c>
      <c r="V30" s="112" t="s">
        <v>141</v>
      </c>
      <c r="W30" s="112" t="s">
        <v>142</v>
      </c>
      <c r="X30" s="112" t="s">
        <v>45</v>
      </c>
      <c r="Y30" s="112" t="s">
        <v>46</v>
      </c>
      <c r="Z30" s="112" t="s">
        <v>143</v>
      </c>
      <c r="AA30" s="112" t="s">
        <v>144</v>
      </c>
      <c r="AB30" s="112" t="s">
        <v>29</v>
      </c>
      <c r="AC30" s="112" t="s">
        <v>12</v>
      </c>
      <c r="AD30" s="112" t="s">
        <v>13</v>
      </c>
      <c r="AE30" s="112" t="s">
        <v>14</v>
      </c>
      <c r="AF30" s="112" t="s">
        <v>26</v>
      </c>
      <c r="AG30" s="112" t="s">
        <v>15</v>
      </c>
      <c r="AH30" s="112" t="s">
        <v>17</v>
      </c>
      <c r="AI30" s="114" t="s">
        <v>28</v>
      </c>
      <c r="AJ30" s="114" t="s">
        <v>18</v>
      </c>
      <c r="AK30" s="114" t="s">
        <v>19</v>
      </c>
      <c r="AL30" s="114" t="s">
        <v>20</v>
      </c>
      <c r="AM30" s="114" t="s">
        <v>21</v>
      </c>
      <c r="AN30" s="114" t="s">
        <v>22</v>
      </c>
      <c r="AO30" s="114" t="s">
        <v>23</v>
      </c>
      <c r="AP30" s="114" t="s">
        <v>24</v>
      </c>
      <c r="AQ30" s="117" t="s">
        <v>36</v>
      </c>
      <c r="AR30" s="117" t="s">
        <v>31</v>
      </c>
      <c r="AS30" s="117" t="s">
        <v>30</v>
      </c>
      <c r="AT30" s="117" t="s">
        <v>33</v>
      </c>
      <c r="AU30" s="117" t="s">
        <v>37</v>
      </c>
      <c r="AV30" s="117" t="s">
        <v>32</v>
      </c>
      <c r="AW30" s="117" t="s">
        <v>34</v>
      </c>
      <c r="AX30" s="117" t="s">
        <v>35</v>
      </c>
      <c r="AY30" s="117" t="s">
        <v>41</v>
      </c>
      <c r="AZ30" s="117" t="s">
        <v>39</v>
      </c>
      <c r="BA30" s="117" t="s">
        <v>40</v>
      </c>
      <c r="BB30" s="118" t="s">
        <v>38</v>
      </c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64" ht="12.75">
      <c r="A31" s="110">
        <v>30</v>
      </c>
      <c r="B31" s="111" t="s">
        <v>6</v>
      </c>
      <c r="C31" s="112" t="s">
        <v>7</v>
      </c>
      <c r="D31" s="113" t="s">
        <v>127</v>
      </c>
      <c r="E31" s="112" t="s">
        <v>128</v>
      </c>
      <c r="F31" s="112" t="s">
        <v>194</v>
      </c>
      <c r="G31" s="112" t="s">
        <v>129</v>
      </c>
      <c r="H31" s="112" t="s">
        <v>130</v>
      </c>
      <c r="I31" s="112" t="s">
        <v>131</v>
      </c>
      <c r="J31" s="121" t="s">
        <v>8</v>
      </c>
      <c r="K31" s="121" t="s">
        <v>9</v>
      </c>
      <c r="L31" s="112" t="s">
        <v>132</v>
      </c>
      <c r="M31" s="112" t="s">
        <v>133</v>
      </c>
      <c r="N31" s="121" t="s">
        <v>134</v>
      </c>
      <c r="O31" s="121" t="s">
        <v>135</v>
      </c>
      <c r="P31" s="112" t="s">
        <v>10</v>
      </c>
      <c r="Q31" s="112" t="s">
        <v>11</v>
      </c>
      <c r="R31" s="112" t="s">
        <v>138</v>
      </c>
      <c r="S31" s="112" t="s">
        <v>139</v>
      </c>
      <c r="T31" s="112" t="s">
        <v>195</v>
      </c>
      <c r="U31" s="112" t="s">
        <v>140</v>
      </c>
      <c r="V31" s="112" t="s">
        <v>141</v>
      </c>
      <c r="W31" s="112" t="s">
        <v>142</v>
      </c>
      <c r="X31" s="112" t="s">
        <v>45</v>
      </c>
      <c r="Y31" s="112" t="s">
        <v>46</v>
      </c>
      <c r="Z31" s="112" t="s">
        <v>143</v>
      </c>
      <c r="AA31" s="112" t="s">
        <v>144</v>
      </c>
      <c r="AB31" s="112" t="s">
        <v>145</v>
      </c>
      <c r="AC31" s="112" t="s">
        <v>146</v>
      </c>
      <c r="AD31" s="112" t="s">
        <v>29</v>
      </c>
      <c r="AE31" s="112" t="s">
        <v>12</v>
      </c>
      <c r="AF31" s="112" t="s">
        <v>13</v>
      </c>
      <c r="AG31" s="112" t="s">
        <v>14</v>
      </c>
      <c r="AH31" s="112" t="s">
        <v>26</v>
      </c>
      <c r="AI31" s="112" t="s">
        <v>15</v>
      </c>
      <c r="AJ31" s="112" t="s">
        <v>17</v>
      </c>
      <c r="AK31" s="114" t="s">
        <v>28</v>
      </c>
      <c r="AL31" s="114" t="s">
        <v>18</v>
      </c>
      <c r="AM31" s="114" t="s">
        <v>19</v>
      </c>
      <c r="AN31" s="114" t="s">
        <v>20</v>
      </c>
      <c r="AO31" s="114" t="s">
        <v>21</v>
      </c>
      <c r="AP31" s="114" t="s">
        <v>22</v>
      </c>
      <c r="AQ31" s="114" t="s">
        <v>24</v>
      </c>
      <c r="AR31" s="117" t="s">
        <v>36</v>
      </c>
      <c r="AS31" s="117" t="s">
        <v>31</v>
      </c>
      <c r="AT31" s="117" t="s">
        <v>30</v>
      </c>
      <c r="AU31" s="117" t="s">
        <v>33</v>
      </c>
      <c r="AV31" s="117" t="s">
        <v>37</v>
      </c>
      <c r="AW31" s="117" t="s">
        <v>32</v>
      </c>
      <c r="AX31" s="117" t="s">
        <v>34</v>
      </c>
      <c r="AY31" s="117" t="s">
        <v>35</v>
      </c>
      <c r="AZ31" s="117" t="s">
        <v>41</v>
      </c>
      <c r="BA31" s="117" t="s">
        <v>39</v>
      </c>
      <c r="BB31" s="117" t="s">
        <v>40</v>
      </c>
      <c r="BC31" s="118" t="s">
        <v>38</v>
      </c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64" ht="12.75">
      <c r="A32" s="110">
        <v>31</v>
      </c>
      <c r="B32" s="111" t="s">
        <v>6</v>
      </c>
      <c r="C32" s="112" t="s">
        <v>7</v>
      </c>
      <c r="D32" s="113" t="s">
        <v>127</v>
      </c>
      <c r="E32" s="112" t="s">
        <v>128</v>
      </c>
      <c r="F32" s="112" t="s">
        <v>194</v>
      </c>
      <c r="G32" s="112" t="s">
        <v>129</v>
      </c>
      <c r="H32" s="112" t="s">
        <v>130</v>
      </c>
      <c r="I32" s="112" t="s">
        <v>131</v>
      </c>
      <c r="J32" s="121" t="s">
        <v>8</v>
      </c>
      <c r="K32" s="121" t="s">
        <v>9</v>
      </c>
      <c r="L32" s="112" t="s">
        <v>132</v>
      </c>
      <c r="M32" s="112" t="s">
        <v>133</v>
      </c>
      <c r="N32" s="121" t="s">
        <v>134</v>
      </c>
      <c r="O32" s="121" t="s">
        <v>135</v>
      </c>
      <c r="P32" s="112" t="s">
        <v>136</v>
      </c>
      <c r="Q32" s="112" t="s">
        <v>137</v>
      </c>
      <c r="R32" s="112" t="s">
        <v>10</v>
      </c>
      <c r="S32" s="112" t="s">
        <v>11</v>
      </c>
      <c r="T32" s="112" t="s">
        <v>138</v>
      </c>
      <c r="U32" s="112" t="s">
        <v>139</v>
      </c>
      <c r="V32" s="112" t="s">
        <v>195</v>
      </c>
      <c r="W32" s="112" t="s">
        <v>140</v>
      </c>
      <c r="X32" s="112" t="s">
        <v>141</v>
      </c>
      <c r="Y32" s="112" t="s">
        <v>142</v>
      </c>
      <c r="Z32" s="112" t="s">
        <v>45</v>
      </c>
      <c r="AA32" s="112" t="s">
        <v>46</v>
      </c>
      <c r="AB32" s="112" t="s">
        <v>143</v>
      </c>
      <c r="AC32" s="112" t="s">
        <v>144</v>
      </c>
      <c r="AD32" s="112" t="s">
        <v>145</v>
      </c>
      <c r="AE32" s="112" t="s">
        <v>146</v>
      </c>
      <c r="AF32" s="112" t="s">
        <v>29</v>
      </c>
      <c r="AG32" s="112" t="s">
        <v>12</v>
      </c>
      <c r="AH32" s="112" t="s">
        <v>13</v>
      </c>
      <c r="AI32" s="112" t="s">
        <v>14</v>
      </c>
      <c r="AJ32" s="112" t="s">
        <v>26</v>
      </c>
      <c r="AK32" s="112" t="s">
        <v>15</v>
      </c>
      <c r="AL32" s="112" t="s">
        <v>16</v>
      </c>
      <c r="AM32" s="114" t="s">
        <v>17</v>
      </c>
      <c r="AN32" s="114" t="s">
        <v>28</v>
      </c>
      <c r="AO32" s="114" t="s">
        <v>18</v>
      </c>
      <c r="AP32" s="114" t="s">
        <v>19</v>
      </c>
      <c r="AQ32" s="114" t="s">
        <v>20</v>
      </c>
      <c r="AR32" s="114" t="s">
        <v>21</v>
      </c>
      <c r="AS32" s="114" t="s">
        <v>22</v>
      </c>
      <c r="AT32" s="114" t="s">
        <v>24</v>
      </c>
      <c r="AU32" s="117" t="s">
        <v>36</v>
      </c>
      <c r="AV32" s="117" t="s">
        <v>31</v>
      </c>
      <c r="AW32" s="117" t="s">
        <v>30</v>
      </c>
      <c r="AX32" s="117" t="s">
        <v>33</v>
      </c>
      <c r="AY32" s="117" t="s">
        <v>37</v>
      </c>
      <c r="AZ32" s="117" t="s">
        <v>32</v>
      </c>
      <c r="BA32" s="117" t="s">
        <v>34</v>
      </c>
      <c r="BB32" s="117" t="s">
        <v>35</v>
      </c>
      <c r="BC32" s="117" t="s">
        <v>41</v>
      </c>
      <c r="BD32" s="117" t="s">
        <v>39</v>
      </c>
      <c r="BE32" s="117" t="s">
        <v>40</v>
      </c>
      <c r="BF32" s="118" t="s">
        <v>38</v>
      </c>
      <c r="BG32" s="118"/>
      <c r="BH32" s="118"/>
      <c r="BI32" s="118"/>
      <c r="BJ32" s="118"/>
      <c r="BK32" s="118"/>
      <c r="BL32" s="119"/>
    </row>
    <row r="33" spans="1:64" ht="13.5" thickBot="1">
      <c r="A33" s="125">
        <v>32</v>
      </c>
      <c r="B33" s="326" t="s">
        <v>6</v>
      </c>
      <c r="C33" s="126" t="s">
        <v>7</v>
      </c>
      <c r="D33" s="127" t="s">
        <v>127</v>
      </c>
      <c r="E33" s="126" t="s">
        <v>128</v>
      </c>
      <c r="F33" s="126" t="s">
        <v>194</v>
      </c>
      <c r="G33" s="126" t="s">
        <v>129</v>
      </c>
      <c r="H33" s="126" t="s">
        <v>130</v>
      </c>
      <c r="I33" s="126" t="s">
        <v>131</v>
      </c>
      <c r="J33" s="327" t="s">
        <v>8</v>
      </c>
      <c r="K33" s="327" t="s">
        <v>9</v>
      </c>
      <c r="L33" s="126" t="s">
        <v>132</v>
      </c>
      <c r="M33" s="126" t="s">
        <v>133</v>
      </c>
      <c r="N33" s="327" t="s">
        <v>134</v>
      </c>
      <c r="O33" s="327" t="s">
        <v>135</v>
      </c>
      <c r="P33" s="126" t="s">
        <v>136</v>
      </c>
      <c r="Q33" s="126" t="s">
        <v>137</v>
      </c>
      <c r="R33" s="126" t="s">
        <v>10</v>
      </c>
      <c r="S33" s="126" t="s">
        <v>11</v>
      </c>
      <c r="T33" s="126" t="s">
        <v>138</v>
      </c>
      <c r="U33" s="126" t="s">
        <v>139</v>
      </c>
      <c r="V33" s="126" t="s">
        <v>195</v>
      </c>
      <c r="W33" s="126" t="s">
        <v>140</v>
      </c>
      <c r="X33" s="126" t="s">
        <v>141</v>
      </c>
      <c r="Y33" s="126" t="s">
        <v>142</v>
      </c>
      <c r="Z33" s="126" t="s">
        <v>45</v>
      </c>
      <c r="AA33" s="126" t="s">
        <v>46</v>
      </c>
      <c r="AB33" s="126" t="s">
        <v>143</v>
      </c>
      <c r="AC33" s="126" t="s">
        <v>144</v>
      </c>
      <c r="AD33" s="126" t="s">
        <v>145</v>
      </c>
      <c r="AE33" s="126" t="s">
        <v>146</v>
      </c>
      <c r="AF33" s="126" t="s">
        <v>147</v>
      </c>
      <c r="AG33" s="128" t="s">
        <v>148</v>
      </c>
      <c r="AH33" s="126" t="s">
        <v>29</v>
      </c>
      <c r="AI33" s="126" t="s">
        <v>12</v>
      </c>
      <c r="AJ33" s="126" t="s">
        <v>13</v>
      </c>
      <c r="AK33" s="126" t="s">
        <v>14</v>
      </c>
      <c r="AL33" s="126" t="s">
        <v>26</v>
      </c>
      <c r="AM33" s="126" t="s">
        <v>15</v>
      </c>
      <c r="AN33" s="126" t="s">
        <v>16</v>
      </c>
      <c r="AO33" s="128" t="s">
        <v>17</v>
      </c>
      <c r="AP33" s="128" t="s">
        <v>28</v>
      </c>
      <c r="AQ33" s="128" t="s">
        <v>18</v>
      </c>
      <c r="AR33" s="128" t="s">
        <v>19</v>
      </c>
      <c r="AS33" s="128" t="s">
        <v>20</v>
      </c>
      <c r="AT33" s="128" t="s">
        <v>21</v>
      </c>
      <c r="AU33" s="128" t="s">
        <v>22</v>
      </c>
      <c r="AV33" s="128" t="s">
        <v>16</v>
      </c>
      <c r="AW33" s="128" t="s">
        <v>17</v>
      </c>
      <c r="AX33" s="328" t="s">
        <v>36</v>
      </c>
      <c r="AY33" s="328" t="s">
        <v>31</v>
      </c>
      <c r="AZ33" s="328" t="s">
        <v>30</v>
      </c>
      <c r="BA33" s="328" t="s">
        <v>33</v>
      </c>
      <c r="BB33" s="328" t="s">
        <v>37</v>
      </c>
      <c r="BC33" s="328" t="s">
        <v>32</v>
      </c>
      <c r="BD33" s="328" t="s">
        <v>34</v>
      </c>
      <c r="BE33" s="328" t="s">
        <v>35</v>
      </c>
      <c r="BF33" s="328" t="s">
        <v>41</v>
      </c>
      <c r="BG33" s="328" t="s">
        <v>39</v>
      </c>
      <c r="BH33" s="328" t="s">
        <v>40</v>
      </c>
      <c r="BI33" s="328" t="s">
        <v>38</v>
      </c>
      <c r="BJ33" s="128"/>
      <c r="BK33" s="128"/>
      <c r="BL33" s="129"/>
    </row>
    <row r="34" spans="1:27" ht="12.75">
      <c r="A34" s="110">
        <v>13</v>
      </c>
      <c r="B34" s="323" t="s">
        <v>29</v>
      </c>
      <c r="C34" s="217" t="s">
        <v>12</v>
      </c>
      <c r="D34" s="324" t="s">
        <v>26</v>
      </c>
      <c r="E34" s="217" t="s">
        <v>15</v>
      </c>
      <c r="F34" s="217" t="s">
        <v>28</v>
      </c>
      <c r="G34" s="217" t="s">
        <v>18</v>
      </c>
      <c r="H34" s="217" t="s">
        <v>21</v>
      </c>
      <c r="I34" s="217" t="s">
        <v>22</v>
      </c>
      <c r="J34" s="217" t="s">
        <v>23</v>
      </c>
      <c r="K34" s="217" t="s">
        <v>24</v>
      </c>
      <c r="L34" s="217" t="s">
        <v>31</v>
      </c>
      <c r="M34" s="217" t="s">
        <v>30</v>
      </c>
      <c r="N34" s="3" t="s">
        <v>33</v>
      </c>
      <c r="O34" s="217" t="s">
        <v>32</v>
      </c>
      <c r="P34" s="325" t="s">
        <v>34</v>
      </c>
      <c r="Q34" s="325" t="s">
        <v>35</v>
      </c>
      <c r="R34" s="325" t="s">
        <v>41</v>
      </c>
      <c r="S34" s="325" t="s">
        <v>39</v>
      </c>
      <c r="T34" s="325" t="s">
        <v>40</v>
      </c>
      <c r="U34" s="325" t="s">
        <v>38</v>
      </c>
      <c r="V34" s="325"/>
      <c r="W34" s="325"/>
      <c r="X34" s="325"/>
      <c r="Y34" s="325"/>
      <c r="Z34" s="325"/>
      <c r="AA34" s="325"/>
    </row>
    <row r="35" spans="1:64" ht="13.5" thickBot="1">
      <c r="A35" s="3"/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  <c r="L35" s="3">
        <v>12</v>
      </c>
      <c r="M35" s="3">
        <v>13</v>
      </c>
      <c r="N35" s="3">
        <v>14</v>
      </c>
      <c r="O35" s="3">
        <v>15</v>
      </c>
      <c r="P35" s="3">
        <v>16</v>
      </c>
      <c r="Q35" s="3">
        <v>17</v>
      </c>
      <c r="R35" s="3">
        <v>18</v>
      </c>
      <c r="S35" s="3">
        <v>19</v>
      </c>
      <c r="T35" s="3">
        <v>20</v>
      </c>
      <c r="U35" s="3">
        <v>21</v>
      </c>
      <c r="V35" s="3">
        <v>22</v>
      </c>
      <c r="W35" s="3">
        <v>23</v>
      </c>
      <c r="X35" s="3">
        <v>24</v>
      </c>
      <c r="Y35" s="3">
        <v>25</v>
      </c>
      <c r="Z35" s="3">
        <v>26</v>
      </c>
      <c r="AA35" s="3">
        <v>27</v>
      </c>
      <c r="AB35" s="3">
        <v>28</v>
      </c>
      <c r="AC35" s="3">
        <v>29</v>
      </c>
      <c r="AD35" s="3">
        <v>30</v>
      </c>
      <c r="AE35" s="3">
        <v>31</v>
      </c>
      <c r="AF35" s="3">
        <v>32</v>
      </c>
      <c r="AG35" s="3">
        <v>33</v>
      </c>
      <c r="AH35" s="3">
        <v>34</v>
      </c>
      <c r="AI35" s="3">
        <v>35</v>
      </c>
      <c r="AJ35" s="3">
        <v>36</v>
      </c>
      <c r="AK35" s="3">
        <v>37</v>
      </c>
      <c r="AL35" s="3">
        <v>38</v>
      </c>
      <c r="AM35" s="3">
        <v>39</v>
      </c>
      <c r="AN35" s="3">
        <v>40</v>
      </c>
      <c r="AO35" s="3">
        <v>41</v>
      </c>
      <c r="AP35" s="3">
        <v>42</v>
      </c>
      <c r="AQ35" s="3">
        <v>43</v>
      </c>
      <c r="AR35" s="3">
        <v>44</v>
      </c>
      <c r="AS35" s="3">
        <v>45</v>
      </c>
      <c r="AT35" s="3">
        <v>46</v>
      </c>
      <c r="AU35" s="3">
        <v>47</v>
      </c>
      <c r="AV35" s="3">
        <v>48</v>
      </c>
      <c r="AW35" s="3">
        <v>49</v>
      </c>
      <c r="AX35" s="3">
        <v>50</v>
      </c>
      <c r="AY35" s="3">
        <v>51</v>
      </c>
      <c r="AZ35" s="3">
        <v>52</v>
      </c>
      <c r="BA35" s="3">
        <v>53</v>
      </c>
      <c r="BB35" s="3">
        <v>54</v>
      </c>
      <c r="BC35" s="3">
        <v>55</v>
      </c>
      <c r="BD35" s="3">
        <v>56</v>
      </c>
      <c r="BE35" s="3">
        <v>57</v>
      </c>
      <c r="BF35" s="3">
        <v>58</v>
      </c>
      <c r="BG35" s="3">
        <v>59</v>
      </c>
      <c r="BH35" s="3">
        <v>60</v>
      </c>
      <c r="BI35" s="3">
        <v>61</v>
      </c>
      <c r="BJ35" s="3">
        <v>62</v>
      </c>
      <c r="BK35" s="3">
        <v>63</v>
      </c>
      <c r="BL35" s="3">
        <v>64</v>
      </c>
    </row>
    <row r="36" spans="1:64" ht="12.75">
      <c r="A36" s="130" t="str">
        <f>B_4</f>
        <v>H-75KG</v>
      </c>
      <c r="B36" s="131" t="str">
        <f>IF($A36=0,"",IF(VLOOKUP(HjArk!$D4,Tab1,2,FALSE)=0,"",VLOOKUP(HjArk!$D4,Tab1,2,FALSE)))</f>
        <v>G20</v>
      </c>
      <c r="C36" s="106" t="str">
        <f>IF($A36=0,"",IF(VLOOKUP(HjArk!$D4,Tab1,3,FALSE)=0,"",VLOOKUP(HjArk!$D4,Tab1,3,FALSE)))</f>
        <v>G22</v>
      </c>
      <c r="D36" s="106" t="str">
        <f>IF($A36=0,"",IF(VLOOKUP(HjArk!$D4,Tab1,4,FALSE)=0,"",VLOOKUP(HjArk!$D4,Tab1,4,FALSE)))</f>
        <v>G60</v>
      </c>
      <c r="E36" s="106" t="str">
        <f>IF($A36=0,"",IF(VLOOKUP(HjArk!$D4,Tab1,5,FALSE)=0,"",VLOOKUP(HjArk!$D4,Tab1,5,FALSE)))</f>
        <v>G62</v>
      </c>
      <c r="F36" s="106" t="str">
        <f>IF($A36=0,"",IF(VLOOKUP(HjArk!$D4,Tab1,6,FALSE)=0,"",VLOOKUP(HjArk!$D4,Tab1,6,FALSE)))</f>
        <v>Q20</v>
      </c>
      <c r="G36" s="106" t="str">
        <f>IF($A36=0,"",IF(VLOOKUP(HjArk!$D4,Tab1,7,FALSE)=0,"",VLOOKUP(HjArk!$D4,Tab1,7,FALSE)))</f>
        <v>Q22</v>
      </c>
      <c r="H36" s="106" t="str">
        <f>IF($A36=0,"",IF(VLOOKUP(HjArk!$D4,Tab1,8,FALSE)=0,"",VLOOKUP(HjArk!$D4,Tab1,8,FALSE)))</f>
        <v>Q60</v>
      </c>
      <c r="I36" s="106" t="str">
        <f>IF($A36=0,"",IF(VLOOKUP(HjArk!$D4,Tab1,9,FALSE)=0,"",VLOOKUP(HjArk!$D4,Tab1,9,FALSE)))</f>
        <v>Q62</v>
      </c>
      <c r="J36" s="106" t="str">
        <f>IF($A36=0,"",IF(VLOOKUP(HjArk!$D4,Tab1,10,FALSE)=0,"",VLOOKUP(HjArk!$D4,Tab1,10,FALSE)))</f>
        <v>I40</v>
      </c>
      <c r="K36" s="106" t="str">
        <f>IF($A36=0,"",IF(VLOOKUP(HjArk!$D4,Tab1,11,FALSE)=0,"",VLOOKUP(HjArk!$D4,Tab1,11,FALSE)))</f>
        <v>I42</v>
      </c>
      <c r="L36" s="106" t="str">
        <f>IF($A36=0,"",IF(VLOOKUP(HjArk!$D4,Tab1,12,FALSE)=0,"",VLOOKUP(HjArk!$D4,Tab1,12,FALSE)))</f>
        <v>O40</v>
      </c>
      <c r="M36" s="106" t="str">
        <f>IF($A36=0,"",IF(VLOOKUP(HjArk!$D4,Tab1,13,FALSE)=0,"",VLOOKUP(HjArk!$D4,Tab1,13,FALSE)))</f>
        <v>O42</v>
      </c>
      <c r="N36" s="106">
        <f>IF($A36=0,"",IF(VLOOKUP(HjArk!$D4,Tab1,14,FALSE)=0,"",VLOOKUP(HjArk!$D4,Tab1,14,FALSE)))</f>
      </c>
      <c r="O36" s="106">
        <f>IF($A36=0,"",IF(VLOOKUP(HjArk!$D4,Tab1,15,FALSE)=0,"",VLOOKUP(HjArk!$D4,Tab1,15,FALSE)))</f>
      </c>
      <c r="P36" s="106">
        <f>IF($A36=0,"",IF(VLOOKUP(HjArk!$D4,Tab1,16,FALSE)=0,"",VLOOKUP(HjArk!$D4,Tab1,16,FALSE)))</f>
      </c>
      <c r="Q36" s="106">
        <f>IF($A36=0,"",IF(VLOOKUP(HjArk!$D4,Tab1,17,FALSE)=0,"",VLOOKUP(HjArk!$D4,Tab1,17,FALSE)))</f>
      </c>
      <c r="R36" s="106">
        <f>IF($A36=0,"",IF(VLOOKUP(HjArk!$D4,Tab1,18,FALSE)=0,"",VLOOKUP(HjArk!$D4,Tab1,18,FALSE)))</f>
      </c>
      <c r="S36" s="106">
        <f>IF($A36=0,"",IF(VLOOKUP(HjArk!$D4,Tab1,19,FALSE)=0,"",VLOOKUP(HjArk!$D4,Tab1,19,FALSE)))</f>
      </c>
      <c r="T36" s="106">
        <f>IF($A36=0,"",IF(VLOOKUP(HjArk!$D4,Tab1,20,FALSE)=0,"",VLOOKUP(HjArk!$D4,Tab1,20,FALSE)))</f>
      </c>
      <c r="U36" s="106">
        <f>IF($A36=0,"",IF(VLOOKUP(HjArk!$D4,Tab1,21,FALSE)=0,"",VLOOKUP(HjArk!$D4,Tab1,21,FALSE)))</f>
      </c>
      <c r="V36" s="106">
        <f>IF($A36=0,"",IF(VLOOKUP(HjArk!$D4,Tab1,22,FALSE)=0,"",VLOOKUP(HjArk!$D4,Tab1,22,FALSE)))</f>
      </c>
      <c r="W36" s="106">
        <f>IF($A36=0,"",IF(VLOOKUP(HjArk!$D4,Tab1,23,FALSE)=0,"",VLOOKUP(HjArk!$D4,Tab1,23,FALSE)))</f>
      </c>
      <c r="X36" s="106">
        <f>IF($A36=0,"",IF(VLOOKUP(HjArk!$D4,Tab1,24,FALSE)=0,"",VLOOKUP(HjArk!$D4,Tab1,24,FALSE)))</f>
      </c>
      <c r="Y36" s="106">
        <f>IF($A36=0,"",IF(VLOOKUP(HjArk!$D4,Tab1,25,FALSE)=0,"",VLOOKUP(HjArk!$D4,Tab1,25,FALSE)))</f>
      </c>
      <c r="Z36" s="106">
        <f>IF($A36=0,"",IF(VLOOKUP(HjArk!$D4,Tab1,26,FALSE)=0,"",VLOOKUP(HjArk!$D4,Tab1,26,FALSE)))</f>
      </c>
      <c r="AA36" s="106">
        <f>IF($A36=0,"",IF(VLOOKUP(HjArk!$D4,Tab1,27,FALSE)=0,"",VLOOKUP(HjArk!$D4,Tab1,27,FALSE)))</f>
      </c>
      <c r="AB36" s="106">
        <f>IF($A36=0,"",IF(VLOOKUP(HjArk!$D4,Tab1,28,FALSE)=0,"",VLOOKUP(HjArk!$D4,Tab1,28,FALSE)))</f>
      </c>
      <c r="AC36" s="106">
        <f>IF($A36=0,"",IF(VLOOKUP(HjArk!$D4,Tab1,29,FALSE)=0,"",VLOOKUP(HjArk!$D4,Tab1,29,FALSE)))</f>
      </c>
      <c r="AD36" s="106">
        <f>IF($A36=0,"",IF(VLOOKUP(HjArk!$D4,Tab1,30,FALSE)=0,"",VLOOKUP(HjArk!$D4,Tab1,30,FALSE)))</f>
      </c>
      <c r="AE36" s="106">
        <f>IF($A36=0,"",IF(VLOOKUP(HjArk!$D4,Tab1,31,FALSE)=0,"",VLOOKUP(HjArk!$D4,Tab1,31,FALSE)))</f>
      </c>
      <c r="AF36" s="106">
        <f>IF($A36=0,"",IF(VLOOKUP(HjArk!$D4,Tab1,32,FALSE)=0,"",VLOOKUP(HjArk!$D4,Tab1,32,FALSE)))</f>
      </c>
      <c r="AG36" s="106">
        <f>IF($A36=0,"",IF(VLOOKUP(HjArk!$D4,Tab1,33,FALSE)=0,"",VLOOKUP(HjArk!$D4,Tab1,33,FALSE)))</f>
      </c>
      <c r="AH36" s="106">
        <f>IF($A36=0,"",IF(VLOOKUP(HjArk!$D4,Tab1,34,FALSE)=0,"",VLOOKUP(HjArk!$D4,Tab1,34,FALSE)))</f>
      </c>
      <c r="AI36" s="106">
        <f>IF($A36=0,"",IF(VLOOKUP(HjArk!$D4,Tab1,35,FALSE)=0,"",VLOOKUP(HjArk!$D4,Tab1,35,FALSE)))</f>
      </c>
      <c r="AJ36" s="106">
        <f>IF($A36=0,"",IF(VLOOKUP(HjArk!$D4,Tab1,36,FALSE)=0,"",VLOOKUP(HjArk!$D4,Tab1,36,FALSE)))</f>
      </c>
      <c r="AK36" s="106">
        <f>IF($A36=0,"",IF(VLOOKUP(HjArk!$D4,Tab1,37,FALSE)=0,"",VLOOKUP(HjArk!$D4,Tab1,37,FALSE)))</f>
      </c>
      <c r="AL36" s="106">
        <f>IF($A36=0,"",IF(VLOOKUP(HjArk!$D4,Tab1,38,FALSE)=0,"",VLOOKUP(HjArk!$D4,Tab1,38,FALSE)))</f>
      </c>
      <c r="AM36" s="106">
        <f>IF($A36=0,"",IF(VLOOKUP(HjArk!$D4,Tab1,39,FALSE)=0,"",VLOOKUP(HjArk!$D4,Tab1,39,FALSE)))</f>
      </c>
      <c r="AN36" s="106">
        <f>IF($A36=0,"",IF(VLOOKUP(HjArk!$D4,Tab1,40,FALSE)=0,"",VLOOKUP(HjArk!$D4,Tab1,40,FALSE)))</f>
      </c>
      <c r="AO36" s="106">
        <f>IF($A36=0,"",IF(VLOOKUP(HjArk!$D4,Tab1,41,FALSE)=0,"",VLOOKUP(HjArk!$D4,Tab1,41,FALSE)))</f>
      </c>
      <c r="AP36" s="106">
        <f>IF($A36=0,"",IF(VLOOKUP(HjArk!$D4,Tab1,42,FALSE)=0,"",VLOOKUP(HjArk!$D4,Tab1,42,FALSE)))</f>
      </c>
      <c r="AQ36" s="106">
        <f>IF($A36=0,"",IF(VLOOKUP(HjArk!$D4,Tab1,43,FALSE)=0,"",VLOOKUP(HjArk!$D4,Tab1,43,FALSE)))</f>
      </c>
      <c r="AR36" s="106">
        <f>IF($A36=0,"",IF(VLOOKUP(HjArk!$D4,Tab1,44,FALSE)=0,"",VLOOKUP(HjArk!$D4,Tab1,44,FALSE)))</f>
      </c>
      <c r="AS36" s="106">
        <f>IF($A36=0,"",IF(VLOOKUP(HjArk!$D4,Tab1,45,FALSE)=0,"",VLOOKUP(HjArk!$D4,Tab1,45,FALSE)))</f>
      </c>
      <c r="AT36" s="106">
        <f>IF($A36=0,"",IF(VLOOKUP(HjArk!$D4,Tab1,46,FALSE)=0,"",VLOOKUP(HjArk!$D4,Tab1,46,FALSE)))</f>
      </c>
      <c r="AU36" s="106">
        <f>IF($A36=0,"",IF(VLOOKUP(HjArk!$D4,Tab1,47,FALSE)=0,"",VLOOKUP(HjArk!$D4,Tab1,47,FALSE)))</f>
      </c>
      <c r="AV36" s="106">
        <f>IF($A36=0,"",IF(VLOOKUP(HjArk!$D4,Tab1,48,FALSE)=0,"",VLOOKUP(HjArk!$D4,Tab1,48,FALSE)))</f>
      </c>
      <c r="AW36" s="106">
        <f>IF($A36=0,"",IF(VLOOKUP(HjArk!$D4,Tab1,49,FALSE)=0,"",VLOOKUP(HjArk!$D4,Tab1,49,FALSE)))</f>
      </c>
      <c r="AX36" s="106">
        <f>IF($A36=0,"",IF(VLOOKUP(HjArk!$D4,Tab1,50,FALSE)=0,"",VLOOKUP(HjArk!$D4,Tab1,50,FALSE)))</f>
      </c>
      <c r="AY36" s="106">
        <f>IF($A36=0,"",IF(VLOOKUP(HjArk!$D4,Tab1,51,FALSE)=0,"",VLOOKUP(HjArk!$D4,Tab1,51,FALSE)))</f>
      </c>
      <c r="AZ36" s="106">
        <f>IF($A36=0,"",IF(VLOOKUP(HjArk!$D4,Tab1,52,FALSE)=0,"",VLOOKUP(HjArk!$D4,Tab1,52,FALSE)))</f>
      </c>
      <c r="BA36" s="106">
        <f>IF($A36=0,"",IF(VLOOKUP(HjArk!$D4,Tab1,53,FALSE)=0,"",VLOOKUP(HjArk!$D4,Tab1,53,FALSE)))</f>
      </c>
      <c r="BB36" s="106">
        <f>IF($A36=0,"",IF(VLOOKUP(HjArk!$D4,Tab1,54,FALSE)=0,"",VLOOKUP(HjArk!$D4,Tab1,54,FALSE)))</f>
      </c>
      <c r="BC36" s="106">
        <f>IF($A36=0,"",IF(VLOOKUP(HjArk!$D4,Tab1,55,FALSE)=0,"",VLOOKUP(HjArk!$D4,Tab1,55,FALSE)))</f>
      </c>
      <c r="BD36" s="106">
        <f>IF($A36=0,"",IF(VLOOKUP(HjArk!$D4,Tab1,56,FALSE)=0,"",VLOOKUP(HjArk!$D4,Tab1,56,FALSE)))</f>
      </c>
      <c r="BE36" s="106">
        <f>IF($A36=0,"",IF(VLOOKUP(HjArk!$D4,Tab1,57,FALSE)=0,"",VLOOKUP(HjArk!$D4,Tab1,57,FALSE)))</f>
      </c>
      <c r="BF36" s="106">
        <f>IF($A36=0,"",IF(VLOOKUP(HjArk!$D4,Tab1,58,FALSE)=0,"",VLOOKUP(HjArk!$D4,Tab1,58,FALSE)))</f>
      </c>
      <c r="BG36" s="106">
        <f>IF($A36=0,"",IF(VLOOKUP(HjArk!$D4,Tab1,59,FALSE)=0,"",VLOOKUP(HjArk!$D4,Tab1,59,FALSE)))</f>
      </c>
      <c r="BH36" s="106">
        <f>IF($A36=0,"",IF(VLOOKUP(HjArk!$D4,Tab1,60,FALSE)=0,"",VLOOKUP(HjArk!$D4,Tab1,60,FALSE)))</f>
      </c>
      <c r="BI36" s="106">
        <f>IF($A36=0,"",IF(VLOOKUP(HjArk!$D4,Tab1,61,FALSE)=0,"",VLOOKUP(HjArk!$D4,Tab1,61,FALSE)))</f>
      </c>
      <c r="BJ36" s="106"/>
      <c r="BK36" s="106"/>
      <c r="BL36" s="109"/>
    </row>
    <row r="37" spans="1:64" ht="12.75">
      <c r="A37" s="132" t="str">
        <f>HjArk!B5</f>
        <v>H-85KG</v>
      </c>
      <c r="B37" s="216" t="str">
        <f>IF($A37=0,"",IF(VLOOKUP(HjArk!$D5,Tab1,2,FALSE)=0,"",VLOOKUP(HjArk!$D5,Tab1,2,FALSE)))</f>
        <v>G20</v>
      </c>
      <c r="C37" s="217" t="str">
        <f>IF($A37=0,"",IF(VLOOKUP(HjArk!$D5,Tab1,3,FALSE)=0,"",VLOOKUP(HjArk!$D5,Tab1,3,FALSE)))</f>
        <v>G22</v>
      </c>
      <c r="D37" s="217" t="str">
        <f>IF($A37=0,"",IF(VLOOKUP(HjArk!$D5,Tab1,4,FALSE)=0,"",VLOOKUP(HjArk!$D5,Tab1,4,FALSE)))</f>
        <v>G60</v>
      </c>
      <c r="E37" s="217" t="str">
        <f>IF($A37=0,"",IF(VLOOKUP(HjArk!$D5,Tab1,5,FALSE)=0,"",VLOOKUP(HjArk!$D5,Tab1,5,FALSE)))</f>
        <v>G62</v>
      </c>
      <c r="F37" s="217" t="str">
        <f>IF($A37=0,"",IF(VLOOKUP(HjArk!$D5,Tab1,6,FALSE)=0,"",VLOOKUP(HjArk!$D5,Tab1,6,FALSE)))</f>
        <v>Q20</v>
      </c>
      <c r="G37" s="217" t="str">
        <f>IF($A37=0,"",IF(VLOOKUP(HjArk!$D5,Tab1,7,FALSE)=0,"",VLOOKUP(HjArk!$D5,Tab1,7,FALSE)))</f>
        <v>Q22</v>
      </c>
      <c r="H37" s="217" t="str">
        <f>IF($A37=0,"",IF(VLOOKUP(HjArk!$D5,Tab1,8,FALSE)=0,"",VLOOKUP(HjArk!$D5,Tab1,8,FALSE)))</f>
        <v>Q60</v>
      </c>
      <c r="I37" s="217" t="str">
        <f>IF($A37=0,"",IF(VLOOKUP(HjArk!$D5,Tab1,9,FALSE)=0,"",VLOOKUP(HjArk!$D5,Tab1,9,FALSE)))</f>
        <v>Q62</v>
      </c>
      <c r="J37" s="217" t="str">
        <f>IF($A37=0,"",IF(VLOOKUP(HjArk!$D5,Tab1,10,FALSE)=0,"",VLOOKUP(HjArk!$D5,Tab1,10,FALSE)))</f>
        <v>I40</v>
      </c>
      <c r="K37" s="217" t="str">
        <f>IF($A37=0,"",IF(VLOOKUP(HjArk!$D5,Tab1,11,FALSE)=0,"",VLOOKUP(HjArk!$D5,Tab1,11,FALSE)))</f>
        <v>I42</v>
      </c>
      <c r="L37" s="217" t="str">
        <f>IF($A37=0,"",IF(VLOOKUP(HjArk!$D5,Tab1,12,FALSE)=0,"",VLOOKUP(HjArk!$D5,Tab1,12,FALSE)))</f>
        <v>O40</v>
      </c>
      <c r="M37" s="217" t="str">
        <f>IF($A37=0,"",IF(VLOOKUP(HjArk!$D5,Tab1,13,FALSE)=0,"",VLOOKUP(HjArk!$D5,Tab1,13,FALSE)))</f>
        <v>O42</v>
      </c>
      <c r="N37" s="217">
        <f>IF($A37=0,"",IF(VLOOKUP(HjArk!$D5,Tab1,14,FALSE)=0,"",VLOOKUP(HjArk!$D5,Tab1,14,FALSE)))</f>
      </c>
      <c r="O37" s="217">
        <f>IF($A37=0,"",IF(VLOOKUP(HjArk!$D5,Tab1,15,FALSE)=0,"",VLOOKUP(HjArk!$D5,Tab1,15,FALSE)))</f>
      </c>
      <c r="P37" s="217">
        <f>IF($A37=0,"",IF(VLOOKUP(HjArk!$D5,Tab1,16,FALSE)=0,"",VLOOKUP(HjArk!$D5,Tab1,16,FALSE)))</f>
      </c>
      <c r="Q37" s="217">
        <f>IF($A37=0,"",IF(VLOOKUP(HjArk!$D5,Tab1,17,FALSE)=0,"",VLOOKUP(HjArk!$D5,Tab1,17,FALSE)))</f>
      </c>
      <c r="R37" s="217">
        <f>IF($A37=0,"",IF(VLOOKUP(HjArk!$D5,Tab1,18,FALSE)=0,"",VLOOKUP(HjArk!$D5,Tab1,18,FALSE)))</f>
      </c>
      <c r="S37" s="217">
        <f>IF($A37=0,"",IF(VLOOKUP(HjArk!$D5,Tab1,19,FALSE)=0,"",VLOOKUP(HjArk!$D5,Tab1,19,FALSE)))</f>
      </c>
      <c r="T37" s="217">
        <f>IF($A37=0,"",IF(VLOOKUP(HjArk!$D5,Tab1,20,FALSE)=0,"",VLOOKUP(HjArk!$D5,Tab1,20,FALSE)))</f>
      </c>
      <c r="U37" s="217">
        <f>IF($A37=0,"",IF(VLOOKUP(HjArk!$D5,Tab1,21,FALSE)=0,"",VLOOKUP(HjArk!$D5,Tab1,21,FALSE)))</f>
      </c>
      <c r="V37" s="217">
        <f>IF($A37=0,"",IF(VLOOKUP(HjArk!$D5,Tab1,22,FALSE)=0,"",VLOOKUP(HjArk!$D5,Tab1,22,FALSE)))</f>
      </c>
      <c r="W37" s="217">
        <f>IF($A37=0,"",IF(VLOOKUP(HjArk!$D5,Tab1,23,FALSE)=0,"",VLOOKUP(HjArk!$D5,Tab1,23,FALSE)))</f>
      </c>
      <c r="X37" s="217">
        <f>IF($A37=0,"",IF(VLOOKUP(HjArk!$D5,Tab1,24,FALSE)=0,"",VLOOKUP(HjArk!$D5,Tab1,24,FALSE)))</f>
      </c>
      <c r="Y37" s="217">
        <f>IF($A37=0,"",IF(VLOOKUP(HjArk!$D5,Tab1,25,FALSE)=0,"",VLOOKUP(HjArk!$D5,Tab1,25,FALSE)))</f>
      </c>
      <c r="Z37" s="217">
        <f>IF($A37=0,"",IF(VLOOKUP(HjArk!$D5,Tab1,26,FALSE)=0,"",VLOOKUP(HjArk!$D5,Tab1,26,FALSE)))</f>
      </c>
      <c r="AA37" s="217">
        <f>IF($A37=0,"",IF(VLOOKUP(HjArk!$D5,Tab1,27,FALSE)=0,"",VLOOKUP(HjArk!$D5,Tab1,27,FALSE)))</f>
      </c>
      <c r="AB37" s="217">
        <f>IF($A37=0,"",IF(VLOOKUP(HjArk!$D5,Tab1,28,FALSE)=0,"",VLOOKUP(HjArk!$D5,Tab1,28,FALSE)))</f>
      </c>
      <c r="AC37" s="217">
        <f>IF($A37=0,"",IF(VLOOKUP(HjArk!$D5,Tab1,29,FALSE)=0,"",VLOOKUP(HjArk!$D5,Tab1,29,FALSE)))</f>
      </c>
      <c r="AD37" s="217">
        <f>IF($A37=0,"",IF(VLOOKUP(HjArk!$D5,Tab1,30,FALSE)=0,"",VLOOKUP(HjArk!$D5,Tab1,30,FALSE)))</f>
      </c>
      <c r="AE37" s="217">
        <f>IF($A37=0,"",IF(VLOOKUP(HjArk!$D5,Tab1,31,FALSE)=0,"",VLOOKUP(HjArk!$D5,Tab1,31,FALSE)))</f>
      </c>
      <c r="AF37" s="217">
        <f>IF($A37=0,"",IF(VLOOKUP(HjArk!$D5,Tab1,32,FALSE)=0,"",VLOOKUP(HjArk!$D5,Tab1,32,FALSE)))</f>
      </c>
      <c r="AG37" s="217">
        <f>IF($A37=0,"",IF(VLOOKUP(HjArk!$D5,Tab1,33,FALSE)=0,"",VLOOKUP(HjArk!$D5,Tab1,33,FALSE)))</f>
      </c>
      <c r="AH37" s="217">
        <f>IF($A37=0,"",IF(VLOOKUP(HjArk!$D5,Tab1,34,FALSE)=0,"",VLOOKUP(HjArk!$D5,Tab1,34,FALSE)))</f>
      </c>
      <c r="AI37" s="217">
        <f>IF($A37=0,"",IF(VLOOKUP(HjArk!$D5,Tab1,35,FALSE)=0,"",VLOOKUP(HjArk!$D5,Tab1,35,FALSE)))</f>
      </c>
      <c r="AJ37" s="217">
        <f>IF($A37=0,"",IF(VLOOKUP(HjArk!$D5,Tab1,36,FALSE)=0,"",VLOOKUP(HjArk!$D5,Tab1,36,FALSE)))</f>
      </c>
      <c r="AK37" s="217">
        <f>IF($A37=0,"",IF(VLOOKUP(HjArk!$D5,Tab1,37,FALSE)=0,"",VLOOKUP(HjArk!$D5,Tab1,37,FALSE)))</f>
      </c>
      <c r="AL37" s="217">
        <f>IF($A37=0,"",IF(VLOOKUP(HjArk!$D5,Tab1,38,FALSE)=0,"",VLOOKUP(HjArk!$D5,Tab1,38,FALSE)))</f>
      </c>
      <c r="AM37" s="217">
        <f>IF($A37=0,"",IF(VLOOKUP(HjArk!$D5,Tab1,39,FALSE)=0,"",VLOOKUP(HjArk!$D5,Tab1,39,FALSE)))</f>
      </c>
      <c r="AN37" s="217">
        <f>IF($A37=0,"",IF(VLOOKUP(HjArk!$D5,Tab1,40,FALSE)=0,"",VLOOKUP(HjArk!$D5,Tab1,40,FALSE)))</f>
      </c>
      <c r="AO37" s="217">
        <f>IF($A37=0,"",IF(VLOOKUP(HjArk!$D5,Tab1,41,FALSE)=0,"",VLOOKUP(HjArk!$D5,Tab1,41,FALSE)))</f>
      </c>
      <c r="AP37" s="217">
        <f>IF($A37=0,"",IF(VLOOKUP(HjArk!$D5,Tab1,42,FALSE)=0,"",VLOOKUP(HjArk!$D5,Tab1,42,FALSE)))</f>
      </c>
      <c r="AQ37" s="217">
        <f>IF($A37=0,"",IF(VLOOKUP(HjArk!$D5,Tab1,43,FALSE)=0,"",VLOOKUP(HjArk!$D5,Tab1,43,FALSE)))</f>
      </c>
      <c r="AR37" s="217">
        <f>IF($A37=0,"",IF(VLOOKUP(HjArk!$D5,Tab1,44,FALSE)=0,"",VLOOKUP(HjArk!$D5,Tab1,44,FALSE)))</f>
      </c>
      <c r="AS37" s="217">
        <f>IF($A37=0,"",IF(VLOOKUP(HjArk!$D5,Tab1,45,FALSE)=0,"",VLOOKUP(HjArk!$D5,Tab1,45,FALSE)))</f>
      </c>
      <c r="AT37" s="217">
        <f>IF($A37=0,"",IF(VLOOKUP(HjArk!$D5,Tab1,46,FALSE)=0,"",VLOOKUP(HjArk!$D5,Tab1,46,FALSE)))</f>
      </c>
      <c r="AU37" s="217">
        <f>IF($A37=0,"",IF(VLOOKUP(HjArk!$D5,Tab1,47,FALSE)=0,"",VLOOKUP(HjArk!$D5,Tab1,47,FALSE)))</f>
      </c>
      <c r="AV37" s="217">
        <f>IF($A37=0,"",IF(VLOOKUP(HjArk!$D5,Tab1,48,FALSE)=0,"",VLOOKUP(HjArk!$D5,Tab1,48,FALSE)))</f>
      </c>
      <c r="AW37" s="217">
        <f>IF($A37=0,"",IF(VLOOKUP(HjArk!$D5,Tab1,49,FALSE)=0,"",VLOOKUP(HjArk!$D5,Tab1,49,FALSE)))</f>
      </c>
      <c r="AX37" s="217">
        <f>IF($A37=0,"",IF(VLOOKUP(HjArk!$D5,Tab1,50,FALSE)=0,"",VLOOKUP(HjArk!$D5,Tab1,50,FALSE)))</f>
      </c>
      <c r="AY37" s="217">
        <f>IF($A37=0,"",IF(VLOOKUP(HjArk!$D5,Tab1,51,FALSE)=0,"",VLOOKUP(HjArk!$D5,Tab1,51,FALSE)))</f>
      </c>
      <c r="AZ37" s="217">
        <f>IF($A37=0,"",IF(VLOOKUP(HjArk!$D5,Tab1,52,FALSE)=0,"",VLOOKUP(HjArk!$D5,Tab1,52,FALSE)))</f>
      </c>
      <c r="BA37" s="217">
        <f>IF($A37=0,"",IF(VLOOKUP(HjArk!$D5,Tab1,53,FALSE)=0,"",VLOOKUP(HjArk!$D5,Tab1,53,FALSE)))</f>
      </c>
      <c r="BB37" s="217">
        <f>IF($A37=0,"",IF(VLOOKUP(HjArk!$D5,Tab1,54,FALSE)=0,"",VLOOKUP(HjArk!$D5,Tab1,54,FALSE)))</f>
      </c>
      <c r="BC37" s="217">
        <f>IF($A37=0,"",IF(VLOOKUP(HjArk!$D5,Tab1,55,FALSE)=0,"",VLOOKUP(HjArk!$D5,Tab1,55,FALSE)))</f>
      </c>
      <c r="BD37" s="217">
        <f>IF($A37=0,"",IF(VLOOKUP(HjArk!$D5,Tab1,56,FALSE)=0,"",VLOOKUP(HjArk!$D5,Tab1,56,FALSE)))</f>
      </c>
      <c r="BE37" s="217">
        <f>IF($A37=0,"",IF(VLOOKUP(HjArk!$D5,Tab1,57,FALSE)=0,"",VLOOKUP(HjArk!$D5,Tab1,57,FALSE)))</f>
      </c>
      <c r="BF37" s="217">
        <f>IF($A37=0,"",IF(VLOOKUP(HjArk!$D5,Tab1,58,FALSE)=0,"",VLOOKUP(HjArk!$D5,Tab1,58,FALSE)))</f>
      </c>
      <c r="BG37" s="217">
        <f>IF($A37=0,"",IF(VLOOKUP(HjArk!$D5,Tab1,59,FALSE)=0,"",VLOOKUP(HjArk!$D5,Tab1,59,FALSE)))</f>
      </c>
      <c r="BH37" s="217">
        <f>IF($A37=0,"",IF(VLOOKUP(HjArk!$D5,Tab1,60,FALSE)=0,"",VLOOKUP(HjArk!$D5,Tab1,60,FALSE)))</f>
      </c>
      <c r="BI37" s="217">
        <f>IF($A37=0,"",IF(VLOOKUP(HjArk!$D5,Tab1,61,FALSE)=0,"",VLOOKUP(HjArk!$D5,Tab1,61,FALSE)))</f>
      </c>
      <c r="BJ37" s="217"/>
      <c r="BK37" s="217"/>
      <c r="BL37" s="218"/>
    </row>
    <row r="38" spans="1:64" ht="12.75">
      <c r="A38" s="132" t="str">
        <f>HjArk!B6</f>
        <v>D+62KG</v>
      </c>
      <c r="B38" s="216" t="str">
        <f>IF($A38=0,"",IF(VLOOKUP(HjArk!$D6,Tab1,2,FALSE)=0,"",VLOOKUP(HjArk!$D6,Tab1,2,FALSE)))</f>
        <v>G20</v>
      </c>
      <c r="C38" s="217" t="str">
        <f>IF($A38=0,"",IF(VLOOKUP(HjArk!$D6,Tab1,3,FALSE)=0,"",VLOOKUP(HjArk!$D6,Tab1,3,FALSE)))</f>
        <v>G22</v>
      </c>
      <c r="D38" s="217" t="str">
        <f>IF($A38=0,"",IF(VLOOKUP(HjArk!$D6,Tab1,4,FALSE)=0,"",VLOOKUP(HjArk!$D6,Tab1,4,FALSE)))</f>
        <v>Q20</v>
      </c>
      <c r="E38" s="217" t="str">
        <f>IF($A38=0,"",IF(VLOOKUP(HjArk!$D6,Tab1,5,FALSE)=0,"",VLOOKUP(HjArk!$D6,Tab1,5,FALSE)))</f>
        <v>Q22</v>
      </c>
      <c r="F38" s="217" t="str">
        <f>IF($A38=0,"",IF(VLOOKUP(HjArk!$D6,Tab1,6,FALSE)=0,"",VLOOKUP(HjArk!$D6,Tab1,6,FALSE)))</f>
        <v>I42</v>
      </c>
      <c r="G38" s="217" t="str">
        <f>IF($A38=0,"",IF(VLOOKUP(HjArk!$D6,Tab1,7,FALSE)=0,"",VLOOKUP(HjArk!$D6,Tab1,7,FALSE)))</f>
        <v>O42</v>
      </c>
      <c r="H38" s="217">
        <f>IF($A38=0,"",IF(VLOOKUP(HjArk!$D6,Tab1,8,FALSE)=0,"",VLOOKUP(HjArk!$D6,Tab1,8,FALSE)))</f>
      </c>
      <c r="I38" s="217">
        <f>IF($A38=0,"",IF(VLOOKUP(HjArk!$D6,Tab1,9,FALSE)=0,"",VLOOKUP(HjArk!$D6,Tab1,9,FALSE)))</f>
      </c>
      <c r="J38" s="217">
        <f>IF($A38=0,"",IF(VLOOKUP(HjArk!$D6,Tab1,10,FALSE)=0,"",VLOOKUP(HjArk!$D6,Tab1,10,FALSE)))</f>
      </c>
      <c r="K38" s="217">
        <f>IF($A38=0,"",IF(VLOOKUP(HjArk!$D6,Tab1,11,FALSE)=0,"",VLOOKUP(HjArk!$D6,Tab1,11,FALSE)))</f>
      </c>
      <c r="L38" s="217">
        <f>IF($A38=0,"",IF(VLOOKUP(HjArk!$D6,Tab1,12,FALSE)=0,"",VLOOKUP(HjArk!$D6,Tab1,12,FALSE)))</f>
      </c>
      <c r="M38" s="217">
        <f>IF($A38=0,"",IF(VLOOKUP(HjArk!$D6,Tab1,13,FALSE)=0,"",VLOOKUP(HjArk!$D6,Tab1,13,FALSE)))</f>
      </c>
      <c r="N38" s="217">
        <f>IF($A38=0,"",IF(VLOOKUP(HjArk!$D6,Tab1,14,FALSE)=0,"",VLOOKUP(HjArk!$D6,Tab1,14,FALSE)))</f>
      </c>
      <c r="O38" s="217">
        <f>IF($A38=0,"",IF(VLOOKUP(HjArk!$D6,Tab1,15,FALSE)=0,"",VLOOKUP(HjArk!$D6,Tab1,15,FALSE)))</f>
      </c>
      <c r="P38" s="217">
        <f>IF($A38=0,"",IF(VLOOKUP(HjArk!$D6,Tab1,16,FALSE)=0,"",VLOOKUP(HjArk!$D6,Tab1,16,FALSE)))</f>
      </c>
      <c r="Q38" s="217">
        <f>IF($A38=0,"",IF(VLOOKUP(HjArk!$D6,Tab1,17,FALSE)=0,"",VLOOKUP(HjArk!$D6,Tab1,17,FALSE)))</f>
      </c>
      <c r="R38" s="217">
        <f>IF($A38=0,"",IF(VLOOKUP(HjArk!$D6,Tab1,18,FALSE)=0,"",VLOOKUP(HjArk!$D6,Tab1,18,FALSE)))</f>
      </c>
      <c r="S38" s="217">
        <f>IF($A38=0,"",IF(VLOOKUP(HjArk!$D6,Tab1,19,FALSE)=0,"",VLOOKUP(HjArk!$D6,Tab1,19,FALSE)))</f>
      </c>
      <c r="T38" s="217">
        <f>IF($A38=0,"",IF(VLOOKUP(HjArk!$D6,Tab1,20,FALSE)=0,"",VLOOKUP(HjArk!$D6,Tab1,20,FALSE)))</f>
      </c>
      <c r="U38" s="217">
        <f>IF($A38=0,"",IF(VLOOKUP(HjArk!$D6,Tab1,21,FALSE)=0,"",VLOOKUP(HjArk!$D6,Tab1,21,FALSE)))</f>
      </c>
      <c r="V38" s="217">
        <f>IF($A38=0,"",IF(VLOOKUP(HjArk!$D6,Tab1,22,FALSE)=0,"",VLOOKUP(HjArk!$D6,Tab1,22,FALSE)))</f>
      </c>
      <c r="W38" s="217">
        <f>IF($A38=0,"",IF(VLOOKUP(HjArk!$D6,Tab1,23,FALSE)=0,"",VLOOKUP(HjArk!$D6,Tab1,23,FALSE)))</f>
      </c>
      <c r="X38" s="217">
        <f>IF($A38=0,"",IF(VLOOKUP(HjArk!$D6,Tab1,24,FALSE)=0,"",VLOOKUP(HjArk!$D6,Tab1,24,FALSE)))</f>
      </c>
      <c r="Y38" s="217">
        <f>IF($A38=0,"",IF(VLOOKUP(HjArk!$D6,Tab1,25,FALSE)=0,"",VLOOKUP(HjArk!$D6,Tab1,25,FALSE)))</f>
      </c>
      <c r="Z38" s="217">
        <f>IF($A38=0,"",IF(VLOOKUP(HjArk!$D6,Tab1,26,FALSE)=0,"",VLOOKUP(HjArk!$D6,Tab1,26,FALSE)))</f>
      </c>
      <c r="AA38" s="217">
        <f>IF($A38=0,"",IF(VLOOKUP(HjArk!$D6,Tab1,27,FALSE)=0,"",VLOOKUP(HjArk!$D6,Tab1,27,FALSE)))</f>
      </c>
      <c r="AB38" s="217">
        <f>IF($A38=0,"",IF(VLOOKUP(HjArk!$D6,Tab1,28,FALSE)=0,"",VLOOKUP(HjArk!$D6,Tab1,28,FALSE)))</f>
      </c>
      <c r="AC38" s="217">
        <f>IF($A38=0,"",IF(VLOOKUP(HjArk!$D6,Tab1,29,FALSE)=0,"",VLOOKUP(HjArk!$D6,Tab1,29,FALSE)))</f>
      </c>
      <c r="AD38" s="217">
        <f>IF($A38=0,"",IF(VLOOKUP(HjArk!$D6,Tab1,30,FALSE)=0,"",VLOOKUP(HjArk!$D6,Tab1,30,FALSE)))</f>
      </c>
      <c r="AE38" s="217">
        <f>IF($A38=0,"",IF(VLOOKUP(HjArk!$D6,Tab1,31,FALSE)=0,"",VLOOKUP(HjArk!$D6,Tab1,31,FALSE)))</f>
      </c>
      <c r="AF38" s="217">
        <f>IF($A38=0,"",IF(VLOOKUP(HjArk!$D6,Tab1,32,FALSE)=0,"",VLOOKUP(HjArk!$D6,Tab1,32,FALSE)))</f>
      </c>
      <c r="AG38" s="217">
        <f>IF($A38=0,"",IF(VLOOKUP(HjArk!$D6,Tab1,33,FALSE)=0,"",VLOOKUP(HjArk!$D6,Tab1,33,FALSE)))</f>
      </c>
      <c r="AH38" s="217">
        <f>IF($A38=0,"",IF(VLOOKUP(HjArk!$D6,Tab1,34,FALSE)=0,"",VLOOKUP(HjArk!$D6,Tab1,34,FALSE)))</f>
      </c>
      <c r="AI38" s="217">
        <f>IF($A38=0,"",IF(VLOOKUP(HjArk!$D6,Tab1,35,FALSE)=0,"",VLOOKUP(HjArk!$D6,Tab1,35,FALSE)))</f>
      </c>
      <c r="AJ38" s="217">
        <f>IF($A38=0,"",IF(VLOOKUP(HjArk!$D6,Tab1,36,FALSE)=0,"",VLOOKUP(HjArk!$D6,Tab1,36,FALSE)))</f>
      </c>
      <c r="AK38" s="217">
        <f>IF($A38=0,"",IF(VLOOKUP(HjArk!$D6,Tab1,37,FALSE)=0,"",VLOOKUP(HjArk!$D6,Tab1,37,FALSE)))</f>
      </c>
      <c r="AL38" s="217">
        <f>IF($A38=0,"",IF(VLOOKUP(HjArk!$D6,Tab1,38,FALSE)=0,"",VLOOKUP(HjArk!$D6,Tab1,38,FALSE)))</f>
      </c>
      <c r="AM38" s="217">
        <f>IF($A38=0,"",IF(VLOOKUP(HjArk!$D6,Tab1,39,FALSE)=0,"",VLOOKUP(HjArk!$D6,Tab1,39,FALSE)))</f>
      </c>
      <c r="AN38" s="217">
        <f>IF($A38=0,"",IF(VLOOKUP(HjArk!$D6,Tab1,40,FALSE)=0,"",VLOOKUP(HjArk!$D6,Tab1,40,FALSE)))</f>
      </c>
      <c r="AO38" s="217">
        <f>IF($A38=0,"",IF(VLOOKUP(HjArk!$D6,Tab1,41,FALSE)=0,"",VLOOKUP(HjArk!$D6,Tab1,41,FALSE)))</f>
      </c>
      <c r="AP38" s="217">
        <f>IF($A38=0,"",IF(VLOOKUP(HjArk!$D6,Tab1,42,FALSE)=0,"",VLOOKUP(HjArk!$D6,Tab1,42,FALSE)))</f>
      </c>
      <c r="AQ38" s="217">
        <f>IF($A38=0,"",IF(VLOOKUP(HjArk!$D6,Tab1,43,FALSE)=0,"",VLOOKUP(HjArk!$D6,Tab1,43,FALSE)))</f>
      </c>
      <c r="AR38" s="217">
        <f>IF($A38=0,"",IF(VLOOKUP(HjArk!$D6,Tab1,44,FALSE)=0,"",VLOOKUP(HjArk!$D6,Tab1,44,FALSE)))</f>
      </c>
      <c r="AS38" s="217">
        <f>IF($A38=0,"",IF(VLOOKUP(HjArk!$D6,Tab1,45,FALSE)=0,"",VLOOKUP(HjArk!$D6,Tab1,45,FALSE)))</f>
      </c>
      <c r="AT38" s="217">
        <f>IF($A38=0,"",IF(VLOOKUP(HjArk!$D6,Tab1,46,FALSE)=0,"",VLOOKUP(HjArk!$D6,Tab1,46,FALSE)))</f>
      </c>
      <c r="AU38" s="217">
        <f>IF($A38=0,"",IF(VLOOKUP(HjArk!$D6,Tab1,47,FALSE)=0,"",VLOOKUP(HjArk!$D6,Tab1,47,FALSE)))</f>
      </c>
      <c r="AV38" s="217">
        <f>IF($A38=0,"",IF(VLOOKUP(HjArk!$D6,Tab1,48,FALSE)=0,"",VLOOKUP(HjArk!$D6,Tab1,48,FALSE)))</f>
      </c>
      <c r="AW38" s="217">
        <f>IF($A38=0,"",IF(VLOOKUP(HjArk!$D6,Tab1,49,FALSE)=0,"",VLOOKUP(HjArk!$D6,Tab1,49,FALSE)))</f>
      </c>
      <c r="AX38" s="217">
        <f>IF($A38=0,"",IF(VLOOKUP(HjArk!$D6,Tab1,50,FALSE)=0,"",VLOOKUP(HjArk!$D6,Tab1,50,FALSE)))</f>
      </c>
      <c r="AY38" s="217">
        <f>IF($A38=0,"",IF(VLOOKUP(HjArk!$D6,Tab1,51,FALSE)=0,"",VLOOKUP(HjArk!$D6,Tab1,51,FALSE)))</f>
      </c>
      <c r="AZ38" s="217">
        <f>IF($A38=0,"",IF(VLOOKUP(HjArk!$D6,Tab1,52,FALSE)=0,"",VLOOKUP(HjArk!$D6,Tab1,52,FALSE)))</f>
      </c>
      <c r="BA38" s="217">
        <f>IF($A38=0,"",IF(VLOOKUP(HjArk!$D6,Tab1,53,FALSE)=0,"",VLOOKUP(HjArk!$D6,Tab1,53,FALSE)))</f>
      </c>
      <c r="BB38" s="217">
        <f>IF($A38=0,"",IF(VLOOKUP(HjArk!$D6,Tab1,54,FALSE)=0,"",VLOOKUP(HjArk!$D6,Tab1,54,FALSE)))</f>
      </c>
      <c r="BC38" s="217">
        <f>IF($A38=0,"",IF(VLOOKUP(HjArk!$D6,Tab1,55,FALSE)=0,"",VLOOKUP(HjArk!$D6,Tab1,55,FALSE)))</f>
      </c>
      <c r="BD38" s="217">
        <f>IF($A38=0,"",IF(VLOOKUP(HjArk!$D6,Tab1,56,FALSE)=0,"",VLOOKUP(HjArk!$D6,Tab1,56,FALSE)))</f>
      </c>
      <c r="BE38" s="217">
        <f>IF($A38=0,"",IF(VLOOKUP(HjArk!$D6,Tab1,57,FALSE)=0,"",VLOOKUP(HjArk!$D6,Tab1,57,FALSE)))</f>
      </c>
      <c r="BF38" s="217">
        <f>IF($A38=0,"",IF(VLOOKUP(HjArk!$D6,Tab1,58,FALSE)=0,"",VLOOKUP(HjArk!$D6,Tab1,58,FALSE)))</f>
      </c>
      <c r="BG38" s="217">
        <f>IF($A38=0,"",IF(VLOOKUP(HjArk!$D6,Tab1,59,FALSE)=0,"",VLOOKUP(HjArk!$D6,Tab1,59,FALSE)))</f>
      </c>
      <c r="BH38" s="217">
        <f>IF($A38=0,"",IF(VLOOKUP(HjArk!$D6,Tab1,60,FALSE)=0,"",VLOOKUP(HjArk!$D6,Tab1,60,FALSE)))</f>
      </c>
      <c r="BI38" s="217">
        <f>IF($A38=0,"",IF(VLOOKUP(HjArk!$D6,Tab1,61,FALSE)=0,"",VLOOKUP(HjArk!$D6,Tab1,61,FALSE)))</f>
      </c>
      <c r="BJ38" s="217"/>
      <c r="BK38" s="217"/>
      <c r="BL38" s="218"/>
    </row>
    <row r="39" spans="1:64" ht="12.75">
      <c r="A39" s="132" t="str">
        <f>HjArk!B7</f>
        <v>JH+63KG</v>
      </c>
      <c r="B39" s="216" t="str">
        <f>IF($A39=0,"",IF(VLOOKUP(HjArk!$D7,Tab1,2,FALSE)=0,"",VLOOKUP(HjArk!$D7,Tab1,2,FALSE)))</f>
        <v>G20</v>
      </c>
      <c r="C39" s="217" t="str">
        <f>IF($A39=0,"",IF(VLOOKUP(HjArk!$D7,Tab1,3,FALSE)=0,"",VLOOKUP(HjArk!$D7,Tab1,3,FALSE)))</f>
        <v>G22</v>
      </c>
      <c r="D39" s="217" t="str">
        <f>IF($A39=0,"",IF(VLOOKUP(HjArk!$D7,Tab1,4,FALSE)=0,"",VLOOKUP(HjArk!$D7,Tab1,4,FALSE)))</f>
        <v>O40</v>
      </c>
      <c r="E39" s="217" t="str">
        <f>IF($A39=0,"",IF(VLOOKUP(HjArk!$D7,Tab1,5,FALSE)=0,"",VLOOKUP(HjArk!$D7,Tab1,5,FALSE)))</f>
        <v>O42</v>
      </c>
      <c r="F39" s="217" t="str">
        <f>IF($A39=0,"",IF(VLOOKUP(HjArk!$D7,Tab1,6,FALSE)=0,"",VLOOKUP(HjArk!$D7,Tab1,6,FALSE)))</f>
        <v>I42</v>
      </c>
      <c r="G39" s="217">
        <f>IF($A39=0,"",IF(VLOOKUP(HjArk!$D7,Tab1,7,FALSE)=0,"",VLOOKUP(HjArk!$D7,Tab1,7,FALSE)))</f>
      </c>
      <c r="H39" s="217">
        <f>IF($A39=0,"",IF(VLOOKUP(HjArk!$D7,Tab1,8,FALSE)=0,"",VLOOKUP(HjArk!$D7,Tab1,8,FALSE)))</f>
      </c>
      <c r="I39" s="217">
        <f>IF($A39=0,"",IF(VLOOKUP(HjArk!$D7,Tab1,9,FALSE)=0,"",VLOOKUP(HjArk!$D7,Tab1,9,FALSE)))</f>
      </c>
      <c r="J39" s="217">
        <f>IF($A39=0,"",IF(VLOOKUP(HjArk!$D7,Tab1,10,FALSE)=0,"",VLOOKUP(HjArk!$D7,Tab1,10,FALSE)))</f>
      </c>
      <c r="K39" s="217">
        <f>IF($A39=0,"",IF(VLOOKUP(HjArk!$D7,Tab1,11,FALSE)=0,"",VLOOKUP(HjArk!$D7,Tab1,11,FALSE)))</f>
      </c>
      <c r="L39" s="217">
        <f>IF($A39=0,"",IF(VLOOKUP(HjArk!$D7,Tab1,12,FALSE)=0,"",VLOOKUP(HjArk!$D7,Tab1,12,FALSE)))</f>
      </c>
      <c r="M39" s="217">
        <f>IF($A39=0,"",IF(VLOOKUP(HjArk!$D7,Tab1,13,FALSE)=0,"",VLOOKUP(HjArk!$D7,Tab1,13,FALSE)))</f>
      </c>
      <c r="N39" s="217">
        <f>IF($A39=0,"",IF(VLOOKUP(HjArk!$D7,Tab1,14,FALSE)=0,"",VLOOKUP(HjArk!$D7,Tab1,14,FALSE)))</f>
      </c>
      <c r="O39" s="217">
        <f>IF($A39=0,"",IF(VLOOKUP(HjArk!$D7,Tab1,15,FALSE)=0,"",VLOOKUP(HjArk!$D7,Tab1,15,FALSE)))</f>
      </c>
      <c r="P39" s="217">
        <f>IF($A39=0,"",IF(VLOOKUP(HjArk!$D7,Tab1,16,FALSE)=0,"",VLOOKUP(HjArk!$D7,Tab1,16,FALSE)))</f>
      </c>
      <c r="Q39" s="217">
        <f>IF($A39=0,"",IF(VLOOKUP(HjArk!$D7,Tab1,17,FALSE)=0,"",VLOOKUP(HjArk!$D7,Tab1,17,FALSE)))</f>
      </c>
      <c r="R39" s="217">
        <f>IF($A39=0,"",IF(VLOOKUP(HjArk!$D7,Tab1,18,FALSE)=0,"",VLOOKUP(HjArk!$D7,Tab1,18,FALSE)))</f>
      </c>
      <c r="S39" s="217">
        <f>IF($A39=0,"",IF(VLOOKUP(HjArk!$D7,Tab1,19,FALSE)=0,"",VLOOKUP(HjArk!$D7,Tab1,19,FALSE)))</f>
      </c>
      <c r="T39" s="217">
        <f>IF($A39=0,"",IF(VLOOKUP(HjArk!$D7,Tab1,20,FALSE)=0,"",VLOOKUP(HjArk!$D7,Tab1,20,FALSE)))</f>
      </c>
      <c r="U39" s="217">
        <f>IF($A39=0,"",IF(VLOOKUP(HjArk!$D7,Tab1,21,FALSE)=0,"",VLOOKUP(HjArk!$D7,Tab1,21,FALSE)))</f>
      </c>
      <c r="V39" s="217">
        <f>IF($A39=0,"",IF(VLOOKUP(HjArk!$D7,Tab1,22,FALSE)=0,"",VLOOKUP(HjArk!$D7,Tab1,22,FALSE)))</f>
      </c>
      <c r="W39" s="217">
        <f>IF($A39=0,"",IF(VLOOKUP(HjArk!$D7,Tab1,23,FALSE)=0,"",VLOOKUP(HjArk!$D7,Tab1,23,FALSE)))</f>
      </c>
      <c r="X39" s="217">
        <f>IF($A39=0,"",IF(VLOOKUP(HjArk!$D7,Tab1,24,FALSE)=0,"",VLOOKUP(HjArk!$D7,Tab1,24,FALSE)))</f>
      </c>
      <c r="Y39" s="217">
        <f>IF($A39=0,"",IF(VLOOKUP(HjArk!$D7,Tab1,25,FALSE)=0,"",VLOOKUP(HjArk!$D7,Tab1,25,FALSE)))</f>
      </c>
      <c r="Z39" s="217">
        <f>IF($A39=0,"",IF(VLOOKUP(HjArk!$D7,Tab1,26,FALSE)=0,"",VLOOKUP(HjArk!$D7,Tab1,26,FALSE)))</f>
      </c>
      <c r="AA39" s="217">
        <f>IF($A39=0,"",IF(VLOOKUP(HjArk!$D7,Tab1,27,FALSE)=0,"",VLOOKUP(HjArk!$D7,Tab1,27,FALSE)))</f>
      </c>
      <c r="AB39" s="217">
        <f>IF($A39=0,"",IF(VLOOKUP(HjArk!$D7,Tab1,28,FALSE)=0,"",VLOOKUP(HjArk!$D7,Tab1,28,FALSE)))</f>
      </c>
      <c r="AC39" s="217">
        <f>IF($A39=0,"",IF(VLOOKUP(HjArk!$D7,Tab1,29,FALSE)=0,"",VLOOKUP(HjArk!$D7,Tab1,29,FALSE)))</f>
      </c>
      <c r="AD39" s="217">
        <f>IF($A39=0,"",IF(VLOOKUP(HjArk!$D7,Tab1,30,FALSE)=0,"",VLOOKUP(HjArk!$D7,Tab1,30,FALSE)))</f>
      </c>
      <c r="AE39" s="217">
        <f>IF($A39=0,"",IF(VLOOKUP(HjArk!$D7,Tab1,31,FALSE)=0,"",VLOOKUP(HjArk!$D7,Tab1,31,FALSE)))</f>
      </c>
      <c r="AF39" s="217">
        <f>IF($A39=0,"",IF(VLOOKUP(HjArk!$D7,Tab1,32,FALSE)=0,"",VLOOKUP(HjArk!$D7,Tab1,32,FALSE)))</f>
      </c>
      <c r="AG39" s="217">
        <f>IF($A39=0,"",IF(VLOOKUP(HjArk!$D7,Tab1,33,FALSE)=0,"",VLOOKUP(HjArk!$D7,Tab1,33,FALSE)))</f>
      </c>
      <c r="AH39" s="217">
        <f>IF($A39=0,"",IF(VLOOKUP(HjArk!$D7,Tab1,34,FALSE)=0,"",VLOOKUP(HjArk!$D7,Tab1,34,FALSE)))</f>
      </c>
      <c r="AI39" s="217">
        <f>IF($A39=0,"",IF(VLOOKUP(HjArk!$D7,Tab1,35,FALSE)=0,"",VLOOKUP(HjArk!$D7,Tab1,35,FALSE)))</f>
      </c>
      <c r="AJ39" s="217">
        <f>IF($A39=0,"",IF(VLOOKUP(HjArk!$D7,Tab1,36,FALSE)=0,"",VLOOKUP(HjArk!$D7,Tab1,36,FALSE)))</f>
      </c>
      <c r="AK39" s="217">
        <f>IF($A39=0,"",IF(VLOOKUP(HjArk!$D7,Tab1,37,FALSE)=0,"",VLOOKUP(HjArk!$D7,Tab1,37,FALSE)))</f>
      </c>
      <c r="AL39" s="217">
        <f>IF($A39=0,"",IF(VLOOKUP(HjArk!$D7,Tab1,38,FALSE)=0,"",VLOOKUP(HjArk!$D7,Tab1,38,FALSE)))</f>
      </c>
      <c r="AM39" s="217">
        <f>IF($A39=0,"",IF(VLOOKUP(HjArk!$D7,Tab1,39,FALSE)=0,"",VLOOKUP(HjArk!$D7,Tab1,39,FALSE)))</f>
      </c>
      <c r="AN39" s="217">
        <f>IF($A39=0,"",IF(VLOOKUP(HjArk!$D7,Tab1,40,FALSE)=0,"",VLOOKUP(HjArk!$D7,Tab1,40,FALSE)))</f>
      </c>
      <c r="AO39" s="217">
        <f>IF($A39=0,"",IF(VLOOKUP(HjArk!$D7,Tab1,41,FALSE)=0,"",VLOOKUP(HjArk!$D7,Tab1,41,FALSE)))</f>
      </c>
      <c r="AP39" s="217">
        <f>IF($A39=0,"",IF(VLOOKUP(HjArk!$D7,Tab1,42,FALSE)=0,"",VLOOKUP(HjArk!$D7,Tab1,42,FALSE)))</f>
      </c>
      <c r="AQ39" s="217">
        <f>IF($A39=0,"",IF(VLOOKUP(HjArk!$D7,Tab1,43,FALSE)=0,"",VLOOKUP(HjArk!$D7,Tab1,43,FALSE)))</f>
      </c>
      <c r="AR39" s="217">
        <f>IF($A39=0,"",IF(VLOOKUP(HjArk!$D7,Tab1,44,FALSE)=0,"",VLOOKUP(HjArk!$D7,Tab1,44,FALSE)))</f>
      </c>
      <c r="AS39" s="217">
        <f>IF($A39=0,"",IF(VLOOKUP(HjArk!$D7,Tab1,45,FALSE)=0,"",VLOOKUP(HjArk!$D7,Tab1,45,FALSE)))</f>
      </c>
      <c r="AT39" s="217">
        <f>IF($A39=0,"",IF(VLOOKUP(HjArk!$D7,Tab1,46,FALSE)=0,"",VLOOKUP(HjArk!$D7,Tab1,46,FALSE)))</f>
      </c>
      <c r="AU39" s="217">
        <f>IF($A39=0,"",IF(VLOOKUP(HjArk!$D7,Tab1,47,FALSE)=0,"",VLOOKUP(HjArk!$D7,Tab1,47,FALSE)))</f>
      </c>
      <c r="AV39" s="217">
        <f>IF($A39=0,"",IF(VLOOKUP(HjArk!$D7,Tab1,48,FALSE)=0,"",VLOOKUP(HjArk!$D7,Tab1,48,FALSE)))</f>
      </c>
      <c r="AW39" s="217">
        <f>IF($A39=0,"",IF(VLOOKUP(HjArk!$D7,Tab1,49,FALSE)=0,"",VLOOKUP(HjArk!$D7,Tab1,49,FALSE)))</f>
      </c>
      <c r="AX39" s="217">
        <f>IF($A39=0,"",IF(VLOOKUP(HjArk!$D7,Tab1,50,FALSE)=0,"",VLOOKUP(HjArk!$D7,Tab1,50,FALSE)))</f>
      </c>
      <c r="AY39" s="217">
        <f>IF($A39=0,"",IF(VLOOKUP(HjArk!$D7,Tab1,51,FALSE)=0,"",VLOOKUP(HjArk!$D7,Tab1,51,FALSE)))</f>
      </c>
      <c r="AZ39" s="217">
        <f>IF($A39=0,"",IF(VLOOKUP(HjArk!$D7,Tab1,52,FALSE)=0,"",VLOOKUP(HjArk!$D7,Tab1,52,FALSE)))</f>
      </c>
      <c r="BA39" s="217">
        <f>IF($A39=0,"",IF(VLOOKUP(HjArk!$D7,Tab1,53,FALSE)=0,"",VLOOKUP(HjArk!$D7,Tab1,53,FALSE)))</f>
      </c>
      <c r="BB39" s="217">
        <f>IF($A39=0,"",IF(VLOOKUP(HjArk!$D7,Tab1,54,FALSE)=0,"",VLOOKUP(HjArk!$D7,Tab1,54,FALSE)))</f>
      </c>
      <c r="BC39" s="217">
        <f>IF($A39=0,"",IF(VLOOKUP(HjArk!$D7,Tab1,55,FALSE)=0,"",VLOOKUP(HjArk!$D7,Tab1,55,FALSE)))</f>
      </c>
      <c r="BD39" s="217">
        <f>IF($A39=0,"",IF(VLOOKUP(HjArk!$D7,Tab1,56,FALSE)=0,"",VLOOKUP(HjArk!$D7,Tab1,56,FALSE)))</f>
      </c>
      <c r="BE39" s="217">
        <f>IF($A39=0,"",IF(VLOOKUP(HjArk!$D7,Tab1,57,FALSE)=0,"",VLOOKUP(HjArk!$D7,Tab1,57,FALSE)))</f>
      </c>
      <c r="BF39" s="217">
        <f>IF($A39=0,"",IF(VLOOKUP(HjArk!$D7,Tab1,58,FALSE)=0,"",VLOOKUP(HjArk!$D7,Tab1,58,FALSE)))</f>
      </c>
      <c r="BG39" s="217">
        <f>IF($A39=0,"",IF(VLOOKUP(HjArk!$D7,Tab1,59,FALSE)=0,"",VLOOKUP(HjArk!$D7,Tab1,59,FALSE)))</f>
      </c>
      <c r="BH39" s="217">
        <f>IF($A39=0,"",IF(VLOOKUP(HjArk!$D7,Tab1,60,FALSE)=0,"",VLOOKUP(HjArk!$D7,Tab1,60,FALSE)))</f>
      </c>
      <c r="BI39" s="217">
        <f>IF($A39=0,"",IF(VLOOKUP(HjArk!$D7,Tab1,61,FALSE)=0,"",VLOOKUP(HjArk!$D7,Tab1,61,FALSE)))</f>
      </c>
      <c r="BJ39" s="217"/>
      <c r="BK39" s="217"/>
      <c r="BL39" s="218"/>
    </row>
    <row r="40" spans="1:64" ht="12.75">
      <c r="A40" s="132" t="str">
        <f>HjArk!B8</f>
        <v>D-62KG</v>
      </c>
      <c r="B40" s="216" t="str">
        <f>IF($A40=0,"",IF(VLOOKUP(HjArk!$D8,Tab1,2,FALSE)=0,"",VLOOKUP(HjArk!$D8,Tab1,2,FALSE)))</f>
        <v>I40</v>
      </c>
      <c r="C40" s="217" t="str">
        <f>IF($A40=0,"",IF(VLOOKUP(HjArk!$D8,Tab1,3,FALSE)=0,"",VLOOKUP(HjArk!$D8,Tab1,3,FALSE)))</f>
        <v>I42</v>
      </c>
      <c r="D40" s="217" t="str">
        <f>IF($A40=0,"",IF(VLOOKUP(HjArk!$D8,Tab1,4,FALSE)=0,"",VLOOKUP(HjArk!$D8,Tab1,4,FALSE)))</f>
        <v>O40</v>
      </c>
      <c r="E40" s="217" t="str">
        <f>IF($A40=0,"",IF(VLOOKUP(HjArk!$D8,Tab1,5,FALSE)=0,"",VLOOKUP(HjArk!$D8,Tab1,5,FALSE)))</f>
        <v>O42</v>
      </c>
      <c r="F40" s="217">
        <f>IF($A40=0,"",IF(VLOOKUP(HjArk!$D8,Tab1,6,FALSE)=0,"",VLOOKUP(HjArk!$D8,Tab1,6,FALSE)))</f>
      </c>
      <c r="G40" s="217">
        <f>IF($A40=0,"",IF(VLOOKUP(HjArk!$D8,Tab1,7,FALSE)=0,"",VLOOKUP(HjArk!$D8,Tab1,7,FALSE)))</f>
      </c>
      <c r="H40" s="217">
        <f>IF($A40=0,"",IF(VLOOKUP(HjArk!$D8,Tab1,8,FALSE)=0,"",VLOOKUP(HjArk!$D8,Tab1,8,FALSE)))</f>
      </c>
      <c r="I40" s="217">
        <f>IF($A40=0,"",IF(VLOOKUP(HjArk!$D8,Tab1,9,FALSE)=0,"",VLOOKUP(HjArk!$D8,Tab1,9,FALSE)))</f>
      </c>
      <c r="J40" s="217">
        <f>IF($A40=0,"",IF(VLOOKUP(HjArk!$D8,Tab1,10,FALSE)=0,"",VLOOKUP(HjArk!$D8,Tab1,10,FALSE)))</f>
      </c>
      <c r="K40" s="217">
        <f>IF($A40=0,"",IF(VLOOKUP(HjArk!$D8,Tab1,11,FALSE)=0,"",VLOOKUP(HjArk!$D8,Tab1,11,FALSE)))</f>
      </c>
      <c r="L40" s="217">
        <f>IF($A40=0,"",IF(VLOOKUP(HjArk!$D8,Tab1,12,FALSE)=0,"",VLOOKUP(HjArk!$D8,Tab1,12,FALSE)))</f>
      </c>
      <c r="M40" s="217">
        <f>IF($A40=0,"",IF(VLOOKUP(HjArk!$D8,Tab1,13,FALSE)=0,"",VLOOKUP(HjArk!$D8,Tab1,13,FALSE)))</f>
      </c>
      <c r="N40" s="217">
        <f>IF($A40=0,"",IF(VLOOKUP(HjArk!$D8,Tab1,14,FALSE)=0,"",VLOOKUP(HjArk!$D8,Tab1,14,FALSE)))</f>
      </c>
      <c r="O40" s="217">
        <f>IF($A40=0,"",IF(VLOOKUP(HjArk!$D8,Tab1,15,FALSE)=0,"",VLOOKUP(HjArk!$D8,Tab1,15,FALSE)))</f>
      </c>
      <c r="P40" s="217">
        <f>IF($A40=0,"",IF(VLOOKUP(HjArk!$D8,Tab1,16,FALSE)=0,"",VLOOKUP(HjArk!$D8,Tab1,16,FALSE)))</f>
      </c>
      <c r="Q40" s="217">
        <f>IF($A40=0,"",IF(VLOOKUP(HjArk!$D8,Tab1,17,FALSE)=0,"",VLOOKUP(HjArk!$D8,Tab1,17,FALSE)))</f>
      </c>
      <c r="R40" s="217">
        <f>IF($A40=0,"",IF(VLOOKUP(HjArk!$D8,Tab1,18,FALSE)=0,"",VLOOKUP(HjArk!$D8,Tab1,18,FALSE)))</f>
      </c>
      <c r="S40" s="217">
        <f>IF($A40=0,"",IF(VLOOKUP(HjArk!$D8,Tab1,19,FALSE)=0,"",VLOOKUP(HjArk!$D8,Tab1,19,FALSE)))</f>
      </c>
      <c r="T40" s="217">
        <f>IF($A40=0,"",IF(VLOOKUP(HjArk!$D8,Tab1,20,FALSE)=0,"",VLOOKUP(HjArk!$D8,Tab1,20,FALSE)))</f>
      </c>
      <c r="U40" s="217">
        <f>IF($A40=0,"",IF(VLOOKUP(HjArk!$D8,Tab1,21,FALSE)=0,"",VLOOKUP(HjArk!$D8,Tab1,21,FALSE)))</f>
      </c>
      <c r="V40" s="217">
        <f>IF($A40=0,"",IF(VLOOKUP(HjArk!$D8,Tab1,22,FALSE)=0,"",VLOOKUP(HjArk!$D8,Tab1,22,FALSE)))</f>
      </c>
      <c r="W40" s="217">
        <f>IF($A40=0,"",IF(VLOOKUP(HjArk!$D8,Tab1,23,FALSE)=0,"",VLOOKUP(HjArk!$D8,Tab1,23,FALSE)))</f>
      </c>
      <c r="X40" s="217">
        <f>IF($A40=0,"",IF(VLOOKUP(HjArk!$D8,Tab1,24,FALSE)=0,"",VLOOKUP(HjArk!$D8,Tab1,24,FALSE)))</f>
      </c>
      <c r="Y40" s="217">
        <f>IF($A40=0,"",IF(VLOOKUP(HjArk!$D8,Tab1,25,FALSE)=0,"",VLOOKUP(HjArk!$D8,Tab1,25,FALSE)))</f>
      </c>
      <c r="Z40" s="217">
        <f>IF($A40=0,"",IF(VLOOKUP(HjArk!$D8,Tab1,26,FALSE)=0,"",VLOOKUP(HjArk!$D8,Tab1,26,FALSE)))</f>
      </c>
      <c r="AA40" s="217">
        <f>IF($A40=0,"",IF(VLOOKUP(HjArk!$D8,Tab1,27,FALSE)=0,"",VLOOKUP(HjArk!$D8,Tab1,27,FALSE)))</f>
      </c>
      <c r="AB40" s="217">
        <f>IF($A40=0,"",IF(VLOOKUP(HjArk!$D8,Tab1,28,FALSE)=0,"",VLOOKUP(HjArk!$D8,Tab1,28,FALSE)))</f>
      </c>
      <c r="AC40" s="217">
        <f>IF($A40=0,"",IF(VLOOKUP(HjArk!$D8,Tab1,29,FALSE)=0,"",VLOOKUP(HjArk!$D8,Tab1,29,FALSE)))</f>
      </c>
      <c r="AD40" s="217">
        <f>IF($A40=0,"",IF(VLOOKUP(HjArk!$D8,Tab1,30,FALSE)=0,"",VLOOKUP(HjArk!$D8,Tab1,30,FALSE)))</f>
      </c>
      <c r="AE40" s="217">
        <f>IF($A40=0,"",IF(VLOOKUP(HjArk!$D8,Tab1,31,FALSE)=0,"",VLOOKUP(HjArk!$D8,Tab1,31,FALSE)))</f>
      </c>
      <c r="AF40" s="217">
        <f>IF($A40=0,"",IF(VLOOKUP(HjArk!$D8,Tab1,32,FALSE)=0,"",VLOOKUP(HjArk!$D8,Tab1,32,FALSE)))</f>
      </c>
      <c r="AG40" s="217">
        <f>IF($A40=0,"",IF(VLOOKUP(HjArk!$D8,Tab1,33,FALSE)=0,"",VLOOKUP(HjArk!$D8,Tab1,33,FALSE)))</f>
      </c>
      <c r="AH40" s="217">
        <f>IF($A40=0,"",IF(VLOOKUP(HjArk!$D8,Tab1,34,FALSE)=0,"",VLOOKUP(HjArk!$D8,Tab1,34,FALSE)))</f>
      </c>
      <c r="AI40" s="217">
        <f>IF($A40=0,"",IF(VLOOKUP(HjArk!$D8,Tab1,35,FALSE)=0,"",VLOOKUP(HjArk!$D8,Tab1,35,FALSE)))</f>
      </c>
      <c r="AJ40" s="217">
        <f>IF($A40=0,"",IF(VLOOKUP(HjArk!$D8,Tab1,36,FALSE)=0,"",VLOOKUP(HjArk!$D8,Tab1,36,FALSE)))</f>
      </c>
      <c r="AK40" s="217">
        <f>IF($A40=0,"",IF(VLOOKUP(HjArk!$D8,Tab1,37,FALSE)=0,"",VLOOKUP(HjArk!$D8,Tab1,37,FALSE)))</f>
      </c>
      <c r="AL40" s="217">
        <f>IF($A40=0,"",IF(VLOOKUP(HjArk!$D8,Tab1,38,FALSE)=0,"",VLOOKUP(HjArk!$D8,Tab1,38,FALSE)))</f>
      </c>
      <c r="AM40" s="217">
        <f>IF($A40=0,"",IF(VLOOKUP(HjArk!$D8,Tab1,39,FALSE)=0,"",VLOOKUP(HjArk!$D8,Tab1,39,FALSE)))</f>
      </c>
      <c r="AN40" s="217">
        <f>IF($A40=0,"",IF(VLOOKUP(HjArk!$D8,Tab1,40,FALSE)=0,"",VLOOKUP(HjArk!$D8,Tab1,40,FALSE)))</f>
      </c>
      <c r="AO40" s="217">
        <f>IF($A40=0,"",IF(VLOOKUP(HjArk!$D8,Tab1,41,FALSE)=0,"",VLOOKUP(HjArk!$D8,Tab1,41,FALSE)))</f>
      </c>
      <c r="AP40" s="217">
        <f>IF($A40=0,"",IF(VLOOKUP(HjArk!$D8,Tab1,42,FALSE)=0,"",VLOOKUP(HjArk!$D8,Tab1,42,FALSE)))</f>
      </c>
      <c r="AQ40" s="217">
        <f>IF($A40=0,"",IF(VLOOKUP(HjArk!$D8,Tab1,43,FALSE)=0,"",VLOOKUP(HjArk!$D8,Tab1,43,FALSE)))</f>
      </c>
      <c r="AR40" s="217">
        <f>IF($A40=0,"",IF(VLOOKUP(HjArk!$D8,Tab1,44,FALSE)=0,"",VLOOKUP(HjArk!$D8,Tab1,44,FALSE)))</f>
      </c>
      <c r="AS40" s="217">
        <f>IF($A40=0,"",IF(VLOOKUP(HjArk!$D8,Tab1,45,FALSE)=0,"",VLOOKUP(HjArk!$D8,Tab1,45,FALSE)))</f>
      </c>
      <c r="AT40" s="217">
        <f>IF($A40=0,"",IF(VLOOKUP(HjArk!$D8,Tab1,46,FALSE)=0,"",VLOOKUP(HjArk!$D8,Tab1,46,FALSE)))</f>
      </c>
      <c r="AU40" s="217">
        <f>IF($A40=0,"",IF(VLOOKUP(HjArk!$D8,Tab1,47,FALSE)=0,"",VLOOKUP(HjArk!$D8,Tab1,47,FALSE)))</f>
      </c>
      <c r="AV40" s="217">
        <f>IF($A40=0,"",IF(VLOOKUP(HjArk!$D8,Tab1,48,FALSE)=0,"",VLOOKUP(HjArk!$D8,Tab1,48,FALSE)))</f>
      </c>
      <c r="AW40" s="217">
        <f>IF($A40=0,"",IF(VLOOKUP(HjArk!$D8,Tab1,49,FALSE)=0,"",VLOOKUP(HjArk!$D8,Tab1,49,FALSE)))</f>
      </c>
      <c r="AX40" s="217">
        <f>IF($A40=0,"",IF(VLOOKUP(HjArk!$D8,Tab1,50,FALSE)=0,"",VLOOKUP(HjArk!$D8,Tab1,50,FALSE)))</f>
      </c>
      <c r="AY40" s="217">
        <f>IF($A40=0,"",IF(VLOOKUP(HjArk!$D8,Tab1,51,FALSE)=0,"",VLOOKUP(HjArk!$D8,Tab1,51,FALSE)))</f>
      </c>
      <c r="AZ40" s="217">
        <f>IF($A40=0,"",IF(VLOOKUP(HjArk!$D8,Tab1,52,FALSE)=0,"",VLOOKUP(HjArk!$D8,Tab1,52,FALSE)))</f>
      </c>
      <c r="BA40" s="217">
        <f>IF($A40=0,"",IF(VLOOKUP(HjArk!$D8,Tab1,53,FALSE)=0,"",VLOOKUP(HjArk!$D8,Tab1,53,FALSE)))</f>
      </c>
      <c r="BB40" s="217">
        <f>IF($A40=0,"",IF(VLOOKUP(HjArk!$D8,Tab1,54,FALSE)=0,"",VLOOKUP(HjArk!$D8,Tab1,54,FALSE)))</f>
      </c>
      <c r="BC40" s="217">
        <f>IF($A40=0,"",IF(VLOOKUP(HjArk!$D8,Tab1,55,FALSE)=0,"",VLOOKUP(HjArk!$D8,Tab1,55,FALSE)))</f>
      </c>
      <c r="BD40" s="217">
        <f>IF($A40=0,"",IF(VLOOKUP(HjArk!$D8,Tab1,56,FALSE)=0,"",VLOOKUP(HjArk!$D8,Tab1,56,FALSE)))</f>
      </c>
      <c r="BE40" s="217">
        <f>IF($A40=0,"",IF(VLOOKUP(HjArk!$D8,Tab1,57,FALSE)=0,"",VLOOKUP(HjArk!$D8,Tab1,57,FALSE)))</f>
      </c>
      <c r="BF40" s="217">
        <f>IF($A40=0,"",IF(VLOOKUP(HjArk!$D8,Tab1,58,FALSE)=0,"",VLOOKUP(HjArk!$D8,Tab1,58,FALSE)))</f>
      </c>
      <c r="BG40" s="217">
        <f>IF($A40=0,"",IF(VLOOKUP(HjArk!$D8,Tab1,59,FALSE)=0,"",VLOOKUP(HjArk!$D8,Tab1,59,FALSE)))</f>
      </c>
      <c r="BH40" s="217">
        <f>IF($A40=0,"",IF(VLOOKUP(HjArk!$D8,Tab1,60,FALSE)=0,"",VLOOKUP(HjArk!$D8,Tab1,60,FALSE)))</f>
      </c>
      <c r="BI40" s="217">
        <f>IF($A40=0,"",IF(VLOOKUP(HjArk!$D8,Tab1,61,FALSE)=0,"",VLOOKUP(HjArk!$D8,Tab1,61,FALSE)))</f>
      </c>
      <c r="BJ40" s="217"/>
      <c r="BK40" s="217"/>
      <c r="BL40" s="218"/>
    </row>
    <row r="41" spans="1:64" ht="12.75">
      <c r="A41" s="132" t="str">
        <f>HjArk!B9</f>
        <v>JD-57KG</v>
      </c>
      <c r="B41" s="216" t="str">
        <f>IF($A41=0,"",IF(VLOOKUP(HjArk!$D9,Tab1,2,FALSE)=0,"",VLOOKUP(HjArk!$D9,Tab1,2,FALSE)))</f>
        <v>I40</v>
      </c>
      <c r="C41" s="217" t="str">
        <f>IF($A41=0,"",IF(VLOOKUP(HjArk!$D9,Tab1,3,FALSE)=0,"",VLOOKUP(HjArk!$D9,Tab1,3,FALSE)))</f>
        <v>I42</v>
      </c>
      <c r="D41" s="217" t="str">
        <f>IF($A41=0,"",IF(VLOOKUP(HjArk!$D9,Tab1,4,FALSE)=0,"",VLOOKUP(HjArk!$D9,Tab1,4,FALSE)))</f>
        <v>O40</v>
      </c>
      <c r="E41" s="217" t="str">
        <f>IF($A41=0,"",IF(VLOOKUP(HjArk!$D9,Tab1,5,FALSE)=0,"",VLOOKUP(HjArk!$D9,Tab1,5,FALSE)))</f>
        <v>O42</v>
      </c>
      <c r="F41" s="217">
        <f>IF($A41=0,"",IF(VLOOKUP(HjArk!$D9,Tab1,6,FALSE)=0,"",VLOOKUP(HjArk!$D9,Tab1,6,FALSE)))</f>
      </c>
      <c r="G41" s="217">
        <f>IF($A41=0,"",IF(VLOOKUP(HjArk!$D9,Tab1,7,FALSE)=0,"",VLOOKUP(HjArk!$D9,Tab1,7,FALSE)))</f>
      </c>
      <c r="H41" s="217">
        <f>IF($A41=0,"",IF(VLOOKUP(HjArk!$D9,Tab1,8,FALSE)=0,"",VLOOKUP(HjArk!$D9,Tab1,8,FALSE)))</f>
      </c>
      <c r="I41" s="217">
        <f>IF($A41=0,"",IF(VLOOKUP(HjArk!$D9,Tab1,9,FALSE)=0,"",VLOOKUP(HjArk!$D9,Tab1,9,FALSE)))</f>
      </c>
      <c r="J41" s="217">
        <f>IF($A41=0,"",IF(VLOOKUP(HjArk!$D9,Tab1,10,FALSE)=0,"",VLOOKUP(HjArk!$D9,Tab1,10,FALSE)))</f>
      </c>
      <c r="K41" s="217">
        <f>IF($A41=0,"",IF(VLOOKUP(HjArk!$D9,Tab1,11,FALSE)=0,"",VLOOKUP(HjArk!$D9,Tab1,11,FALSE)))</f>
      </c>
      <c r="L41" s="217">
        <f>IF($A41=0,"",IF(VLOOKUP(HjArk!$D9,Tab1,12,FALSE)=0,"",VLOOKUP(HjArk!$D9,Tab1,12,FALSE)))</f>
      </c>
      <c r="M41" s="217">
        <f>IF($A41=0,"",IF(VLOOKUP(HjArk!$D9,Tab1,13,FALSE)=0,"",VLOOKUP(HjArk!$D9,Tab1,13,FALSE)))</f>
      </c>
      <c r="N41" s="217">
        <f>IF($A41=0,"",IF(VLOOKUP(HjArk!$D9,Tab1,14,FALSE)=0,"",VLOOKUP(HjArk!$D9,Tab1,14,FALSE)))</f>
      </c>
      <c r="O41" s="217">
        <f>IF($A41=0,"",IF(VLOOKUP(HjArk!$D9,Tab1,15,FALSE)=0,"",VLOOKUP(HjArk!$D9,Tab1,15,FALSE)))</f>
      </c>
      <c r="P41" s="217">
        <f>IF($A41=0,"",IF(VLOOKUP(HjArk!$D9,Tab1,16,FALSE)=0,"",VLOOKUP(HjArk!$D9,Tab1,16,FALSE)))</f>
      </c>
      <c r="Q41" s="217">
        <f>IF($A41=0,"",IF(VLOOKUP(HjArk!$D9,Tab1,17,FALSE)=0,"",VLOOKUP(HjArk!$D9,Tab1,17,FALSE)))</f>
      </c>
      <c r="R41" s="217">
        <f>IF($A41=0,"",IF(VLOOKUP(HjArk!$D9,Tab1,18,FALSE)=0,"",VLOOKUP(HjArk!$D9,Tab1,18,FALSE)))</f>
      </c>
      <c r="S41" s="217">
        <f>IF($A41=0,"",IF(VLOOKUP(HjArk!$D9,Tab1,19,FALSE)=0,"",VLOOKUP(HjArk!$D9,Tab1,19,FALSE)))</f>
      </c>
      <c r="T41" s="217">
        <f>IF($A41=0,"",IF(VLOOKUP(HjArk!$D9,Tab1,20,FALSE)=0,"",VLOOKUP(HjArk!$D9,Tab1,20,FALSE)))</f>
      </c>
      <c r="U41" s="217">
        <f>IF($A41=0,"",IF(VLOOKUP(HjArk!$D9,Tab1,21,FALSE)=0,"",VLOOKUP(HjArk!$D9,Tab1,21,FALSE)))</f>
      </c>
      <c r="V41" s="217">
        <f>IF($A41=0,"",IF(VLOOKUP(HjArk!$D9,Tab1,22,FALSE)=0,"",VLOOKUP(HjArk!$D9,Tab1,22,FALSE)))</f>
      </c>
      <c r="W41" s="217">
        <f>IF($A41=0,"",IF(VLOOKUP(HjArk!$D9,Tab1,23,FALSE)=0,"",VLOOKUP(HjArk!$D9,Tab1,23,FALSE)))</f>
      </c>
      <c r="X41" s="217">
        <f>IF($A41=0,"",IF(VLOOKUP(HjArk!$D9,Tab1,24,FALSE)=0,"",VLOOKUP(HjArk!$D9,Tab1,24,FALSE)))</f>
      </c>
      <c r="Y41" s="217">
        <f>IF($A41=0,"",IF(VLOOKUP(HjArk!$D9,Tab1,25,FALSE)=0,"",VLOOKUP(HjArk!$D9,Tab1,25,FALSE)))</f>
      </c>
      <c r="Z41" s="217">
        <f>IF($A41=0,"",IF(VLOOKUP(HjArk!$D9,Tab1,26,FALSE)=0,"",VLOOKUP(HjArk!$D9,Tab1,26,FALSE)))</f>
      </c>
      <c r="AA41" s="217">
        <f>IF($A41=0,"",IF(VLOOKUP(HjArk!$D9,Tab1,27,FALSE)=0,"",VLOOKUP(HjArk!$D9,Tab1,27,FALSE)))</f>
      </c>
      <c r="AB41" s="217">
        <f>IF($A41=0,"",IF(VLOOKUP(HjArk!$D9,Tab1,28,FALSE)=0,"",VLOOKUP(HjArk!$D9,Tab1,28,FALSE)))</f>
      </c>
      <c r="AC41" s="217">
        <f>IF($A41=0,"",IF(VLOOKUP(HjArk!$D9,Tab1,29,FALSE)=0,"",VLOOKUP(HjArk!$D9,Tab1,29,FALSE)))</f>
      </c>
      <c r="AD41" s="217">
        <f>IF($A41=0,"",IF(VLOOKUP(HjArk!$D9,Tab1,30,FALSE)=0,"",VLOOKUP(HjArk!$D9,Tab1,30,FALSE)))</f>
      </c>
      <c r="AE41" s="217">
        <f>IF($A41=0,"",IF(VLOOKUP(HjArk!$D9,Tab1,31,FALSE)=0,"",VLOOKUP(HjArk!$D9,Tab1,31,FALSE)))</f>
      </c>
      <c r="AF41" s="217">
        <f>IF($A41=0,"",IF(VLOOKUP(HjArk!$D9,Tab1,32,FALSE)=0,"",VLOOKUP(HjArk!$D9,Tab1,32,FALSE)))</f>
      </c>
      <c r="AG41" s="217">
        <f>IF($A41=0,"",IF(VLOOKUP(HjArk!$D9,Tab1,33,FALSE)=0,"",VLOOKUP(HjArk!$D9,Tab1,33,FALSE)))</f>
      </c>
      <c r="AH41" s="217">
        <f>IF($A41=0,"",IF(VLOOKUP(HjArk!$D9,Tab1,34,FALSE)=0,"",VLOOKUP(HjArk!$D9,Tab1,34,FALSE)))</f>
      </c>
      <c r="AI41" s="217">
        <f>IF($A41=0,"",IF(VLOOKUP(HjArk!$D9,Tab1,35,FALSE)=0,"",VLOOKUP(HjArk!$D9,Tab1,35,FALSE)))</f>
      </c>
      <c r="AJ41" s="217">
        <f>IF($A41=0,"",IF(VLOOKUP(HjArk!$D9,Tab1,36,FALSE)=0,"",VLOOKUP(HjArk!$D9,Tab1,36,FALSE)))</f>
      </c>
      <c r="AK41" s="217">
        <f>IF($A41=0,"",IF(VLOOKUP(HjArk!$D9,Tab1,37,FALSE)=0,"",VLOOKUP(HjArk!$D9,Tab1,37,FALSE)))</f>
      </c>
      <c r="AL41" s="217">
        <f>IF($A41=0,"",IF(VLOOKUP(HjArk!$D9,Tab1,38,FALSE)=0,"",VLOOKUP(HjArk!$D9,Tab1,38,FALSE)))</f>
      </c>
      <c r="AM41" s="217">
        <f>IF($A41=0,"",IF(VLOOKUP(HjArk!$D9,Tab1,39,FALSE)=0,"",VLOOKUP(HjArk!$D9,Tab1,39,FALSE)))</f>
      </c>
      <c r="AN41" s="217">
        <f>IF($A41=0,"",IF(VLOOKUP(HjArk!$D9,Tab1,40,FALSE)=0,"",VLOOKUP(HjArk!$D9,Tab1,40,FALSE)))</f>
      </c>
      <c r="AO41" s="217">
        <f>IF($A41=0,"",IF(VLOOKUP(HjArk!$D9,Tab1,41,FALSE)=0,"",VLOOKUP(HjArk!$D9,Tab1,41,FALSE)))</f>
      </c>
      <c r="AP41" s="217">
        <f>IF($A41=0,"",IF(VLOOKUP(HjArk!$D9,Tab1,42,FALSE)=0,"",VLOOKUP(HjArk!$D9,Tab1,42,FALSE)))</f>
      </c>
      <c r="AQ41" s="217">
        <f>IF($A41=0,"",IF(VLOOKUP(HjArk!$D9,Tab1,43,FALSE)=0,"",VLOOKUP(HjArk!$D9,Tab1,43,FALSE)))</f>
      </c>
      <c r="AR41" s="217">
        <f>IF($A41=0,"",IF(VLOOKUP(HjArk!$D9,Tab1,44,FALSE)=0,"",VLOOKUP(HjArk!$D9,Tab1,44,FALSE)))</f>
      </c>
      <c r="AS41" s="217">
        <f>IF($A41=0,"",IF(VLOOKUP(HjArk!$D9,Tab1,45,FALSE)=0,"",VLOOKUP(HjArk!$D9,Tab1,45,FALSE)))</f>
      </c>
      <c r="AT41" s="217">
        <f>IF($A41=0,"",IF(VLOOKUP(HjArk!$D9,Tab1,46,FALSE)=0,"",VLOOKUP(HjArk!$D9,Tab1,46,FALSE)))</f>
      </c>
      <c r="AU41" s="217">
        <f>IF($A41=0,"",IF(VLOOKUP(HjArk!$D9,Tab1,47,FALSE)=0,"",VLOOKUP(HjArk!$D9,Tab1,47,FALSE)))</f>
      </c>
      <c r="AV41" s="217">
        <f>IF($A41=0,"",IF(VLOOKUP(HjArk!$D9,Tab1,48,FALSE)=0,"",VLOOKUP(HjArk!$D9,Tab1,48,FALSE)))</f>
      </c>
      <c r="AW41" s="217">
        <f>IF($A41=0,"",IF(VLOOKUP(HjArk!$D9,Tab1,49,FALSE)=0,"",VLOOKUP(HjArk!$D9,Tab1,49,FALSE)))</f>
      </c>
      <c r="AX41" s="217">
        <f>IF($A41=0,"",IF(VLOOKUP(HjArk!$D9,Tab1,50,FALSE)=0,"",VLOOKUP(HjArk!$D9,Tab1,50,FALSE)))</f>
      </c>
      <c r="AY41" s="217">
        <f>IF($A41=0,"",IF(VLOOKUP(HjArk!$D9,Tab1,51,FALSE)=0,"",VLOOKUP(HjArk!$D9,Tab1,51,FALSE)))</f>
      </c>
      <c r="AZ41" s="217">
        <f>IF($A41=0,"",IF(VLOOKUP(HjArk!$D9,Tab1,52,FALSE)=0,"",VLOOKUP(HjArk!$D9,Tab1,52,FALSE)))</f>
      </c>
      <c r="BA41" s="217">
        <f>IF($A41=0,"",IF(VLOOKUP(HjArk!$D9,Tab1,53,FALSE)=0,"",VLOOKUP(HjArk!$D9,Tab1,53,FALSE)))</f>
      </c>
      <c r="BB41" s="217">
        <f>IF($A41=0,"",IF(VLOOKUP(HjArk!$D9,Tab1,54,FALSE)=0,"",VLOOKUP(HjArk!$D9,Tab1,54,FALSE)))</f>
      </c>
      <c r="BC41" s="217">
        <f>IF($A41=0,"",IF(VLOOKUP(HjArk!$D9,Tab1,55,FALSE)=0,"",VLOOKUP(HjArk!$D9,Tab1,55,FALSE)))</f>
      </c>
      <c r="BD41" s="217">
        <f>IF($A41=0,"",IF(VLOOKUP(HjArk!$D9,Tab1,56,FALSE)=0,"",VLOOKUP(HjArk!$D9,Tab1,56,FALSE)))</f>
      </c>
      <c r="BE41" s="217">
        <f>IF($A41=0,"",IF(VLOOKUP(HjArk!$D9,Tab1,57,FALSE)=0,"",VLOOKUP(HjArk!$D9,Tab1,57,FALSE)))</f>
      </c>
      <c r="BF41" s="217">
        <f>IF($A41=0,"",IF(VLOOKUP(HjArk!$D9,Tab1,58,FALSE)=0,"",VLOOKUP(HjArk!$D9,Tab1,58,FALSE)))</f>
      </c>
      <c r="BG41" s="217">
        <f>IF($A41=0,"",IF(VLOOKUP(HjArk!$D9,Tab1,59,FALSE)=0,"",VLOOKUP(HjArk!$D9,Tab1,59,FALSE)))</f>
      </c>
      <c r="BH41" s="217">
        <f>IF($A41=0,"",IF(VLOOKUP(HjArk!$D9,Tab1,60,FALSE)=0,"",VLOOKUP(HjArk!$D9,Tab1,60,FALSE)))</f>
      </c>
      <c r="BI41" s="217">
        <f>IF($A41=0,"",IF(VLOOKUP(HjArk!$D9,Tab1,61,FALSE)=0,"",VLOOKUP(HjArk!$D9,Tab1,61,FALSE)))</f>
      </c>
      <c r="BJ41" s="217"/>
      <c r="BK41" s="217"/>
      <c r="BL41" s="218"/>
    </row>
    <row r="42" spans="1:64" ht="12.75">
      <c r="A42" s="132" t="str">
        <f>HjArk!B10</f>
        <v>H+85KG</v>
      </c>
      <c r="B42" s="216" t="str">
        <f>IF($A42=0,"",IF(VLOOKUP(HjArk!$D10,Tab1,2,FALSE)=0,"",VLOOKUP(HjArk!$D10,Tab1,2,FALSE)))</f>
        <v>I40</v>
      </c>
      <c r="C42" s="217" t="str">
        <f>IF($A42=0,"",IF(VLOOKUP(HjArk!$D10,Tab1,3,FALSE)=0,"",VLOOKUP(HjArk!$D10,Tab1,3,FALSE)))</f>
        <v>I42</v>
      </c>
      <c r="D42" s="217" t="str">
        <f>IF($A42=0,"",IF(VLOOKUP(HjArk!$D10,Tab1,4,FALSE)=0,"",VLOOKUP(HjArk!$D10,Tab1,4,FALSE)))</f>
        <v>L33</v>
      </c>
      <c r="E42" s="217">
        <f>IF($A42=0,"",IF(VLOOKUP(HjArk!$D10,Tab1,5,FALSE)=0,"",VLOOKUP(HjArk!$D10,Tab1,5,FALSE)))</f>
      </c>
      <c r="F42" s="217">
        <f>IF($A42=0,"",IF(VLOOKUP(HjArk!$D10,Tab1,6,FALSE)=0,"",VLOOKUP(HjArk!$D10,Tab1,6,FALSE)))</f>
      </c>
      <c r="G42" s="217">
        <f>IF($A42=0,"",IF(VLOOKUP(HjArk!$D10,Tab1,7,FALSE)=0,"",VLOOKUP(HjArk!$D10,Tab1,7,FALSE)))</f>
      </c>
      <c r="H42" s="217">
        <f>IF($A42=0,"",IF(VLOOKUP(HjArk!$D10,Tab1,8,FALSE)=0,"",VLOOKUP(HjArk!$D10,Tab1,8,FALSE)))</f>
      </c>
      <c r="I42" s="217">
        <f>IF($A42=0,"",IF(VLOOKUP(HjArk!$D10,Tab1,9,FALSE)=0,"",VLOOKUP(HjArk!$D10,Tab1,9,FALSE)))</f>
      </c>
      <c r="J42" s="217">
        <f>IF($A42=0,"",IF(VLOOKUP(HjArk!$D10,Tab1,10,FALSE)=0,"",VLOOKUP(HjArk!$D10,Tab1,10,FALSE)))</f>
      </c>
      <c r="K42" s="217">
        <f>IF($A42=0,"",IF(VLOOKUP(HjArk!$D10,Tab1,11,FALSE)=0,"",VLOOKUP(HjArk!$D10,Tab1,11,FALSE)))</f>
      </c>
      <c r="L42" s="217">
        <f>IF($A42=0,"",IF(VLOOKUP(HjArk!$D10,Tab1,12,FALSE)=0,"",VLOOKUP(HjArk!$D10,Tab1,12,FALSE)))</f>
      </c>
      <c r="M42" s="217">
        <f>IF($A42=0,"",IF(VLOOKUP(HjArk!$D10,Tab1,13,FALSE)=0,"",VLOOKUP(HjArk!$D10,Tab1,13,FALSE)))</f>
      </c>
      <c r="N42" s="217">
        <f>IF($A42=0,"",IF(VLOOKUP(HjArk!$D10,Tab1,14,FALSE)=0,"",VLOOKUP(HjArk!$D10,Tab1,14,FALSE)))</f>
      </c>
      <c r="O42" s="217">
        <f>IF($A42=0,"",IF(VLOOKUP(HjArk!$D10,Tab1,15,FALSE)=0,"",VLOOKUP(HjArk!$D10,Tab1,15,FALSE)))</f>
      </c>
      <c r="P42" s="217">
        <f>IF($A42=0,"",IF(VLOOKUP(HjArk!$D10,Tab1,16,FALSE)=0,"",VLOOKUP(HjArk!$D10,Tab1,16,FALSE)))</f>
      </c>
      <c r="Q42" s="217">
        <f>IF($A42=0,"",IF(VLOOKUP(HjArk!$D10,Tab1,17,FALSE)=0,"",VLOOKUP(HjArk!$D10,Tab1,17,FALSE)))</f>
      </c>
      <c r="R42" s="217">
        <f>IF($A42=0,"",IF(VLOOKUP(HjArk!$D10,Tab1,18,FALSE)=0,"",VLOOKUP(HjArk!$D10,Tab1,18,FALSE)))</f>
      </c>
      <c r="S42" s="217">
        <f>IF($A42=0,"",IF(VLOOKUP(HjArk!$D10,Tab1,19,FALSE)=0,"",VLOOKUP(HjArk!$D10,Tab1,19,FALSE)))</f>
      </c>
      <c r="T42" s="217">
        <f>IF($A42=0,"",IF(VLOOKUP(HjArk!$D10,Tab1,20,FALSE)=0,"",VLOOKUP(HjArk!$D10,Tab1,20,FALSE)))</f>
      </c>
      <c r="U42" s="217">
        <f>IF($A42=0,"",IF(VLOOKUP(HjArk!$D10,Tab1,21,FALSE)=0,"",VLOOKUP(HjArk!$D10,Tab1,21,FALSE)))</f>
      </c>
      <c r="V42" s="217">
        <f>IF($A42=0,"",IF(VLOOKUP(HjArk!$D10,Tab1,22,FALSE)=0,"",VLOOKUP(HjArk!$D10,Tab1,22,FALSE)))</f>
      </c>
      <c r="W42" s="217">
        <f>IF($A42=0,"",IF(VLOOKUP(HjArk!$D10,Tab1,23,FALSE)=0,"",VLOOKUP(HjArk!$D10,Tab1,23,FALSE)))</f>
      </c>
      <c r="X42" s="217">
        <f>IF($A42=0,"",IF(VLOOKUP(HjArk!$D10,Tab1,24,FALSE)=0,"",VLOOKUP(HjArk!$D10,Tab1,24,FALSE)))</f>
      </c>
      <c r="Y42" s="217">
        <f>IF($A42=0,"",IF(VLOOKUP(HjArk!$D10,Tab1,25,FALSE)=0,"",VLOOKUP(HjArk!$D10,Tab1,25,FALSE)))</f>
      </c>
      <c r="Z42" s="217">
        <f>IF($A42=0,"",IF(VLOOKUP(HjArk!$D10,Tab1,26,FALSE)=0,"",VLOOKUP(HjArk!$D10,Tab1,26,FALSE)))</f>
      </c>
      <c r="AA42" s="217">
        <f>IF($A42=0,"",IF(VLOOKUP(HjArk!$D10,Tab1,27,FALSE)=0,"",VLOOKUP(HjArk!$D10,Tab1,27,FALSE)))</f>
      </c>
      <c r="AB42" s="217">
        <f>IF($A42=0,"",IF(VLOOKUP(HjArk!$D10,Tab1,28,FALSE)=0,"",VLOOKUP(HjArk!$D10,Tab1,28,FALSE)))</f>
      </c>
      <c r="AC42" s="217">
        <f>IF($A42=0,"",IF(VLOOKUP(HjArk!$D10,Tab1,29,FALSE)=0,"",VLOOKUP(HjArk!$D10,Tab1,29,FALSE)))</f>
      </c>
      <c r="AD42" s="217">
        <f>IF($A42=0,"",IF(VLOOKUP(HjArk!$D10,Tab1,30,FALSE)=0,"",VLOOKUP(HjArk!$D10,Tab1,30,FALSE)))</f>
      </c>
      <c r="AE42" s="217">
        <f>IF($A42=0,"",IF(VLOOKUP(HjArk!$D10,Tab1,31,FALSE)=0,"",VLOOKUP(HjArk!$D10,Tab1,31,FALSE)))</f>
      </c>
      <c r="AF42" s="217">
        <f>IF($A42=0,"",IF(VLOOKUP(HjArk!$D10,Tab1,32,FALSE)=0,"",VLOOKUP(HjArk!$D10,Tab1,32,FALSE)))</f>
      </c>
      <c r="AG42" s="217">
        <f>IF($A42=0,"",IF(VLOOKUP(HjArk!$D10,Tab1,33,FALSE)=0,"",VLOOKUP(HjArk!$D10,Tab1,33,FALSE)))</f>
      </c>
      <c r="AH42" s="217">
        <f>IF($A42=0,"",IF(VLOOKUP(HjArk!$D10,Tab1,34,FALSE)=0,"",VLOOKUP(HjArk!$D10,Tab1,34,FALSE)))</f>
      </c>
      <c r="AI42" s="217">
        <f>IF($A42=0,"",IF(VLOOKUP(HjArk!$D10,Tab1,35,FALSE)=0,"",VLOOKUP(HjArk!$D10,Tab1,35,FALSE)))</f>
      </c>
      <c r="AJ42" s="217">
        <f>IF($A42=0,"",IF(VLOOKUP(HjArk!$D10,Tab1,36,FALSE)=0,"",VLOOKUP(HjArk!$D10,Tab1,36,FALSE)))</f>
      </c>
      <c r="AK42" s="217">
        <f>IF($A42=0,"",IF(VLOOKUP(HjArk!$D10,Tab1,37,FALSE)=0,"",VLOOKUP(HjArk!$D10,Tab1,37,FALSE)))</f>
      </c>
      <c r="AL42" s="217">
        <f>IF($A42=0,"",IF(VLOOKUP(HjArk!$D10,Tab1,38,FALSE)=0,"",VLOOKUP(HjArk!$D10,Tab1,38,FALSE)))</f>
      </c>
      <c r="AM42" s="217">
        <f>IF($A42=0,"",IF(VLOOKUP(HjArk!$D10,Tab1,39,FALSE)=0,"",VLOOKUP(HjArk!$D10,Tab1,39,FALSE)))</f>
      </c>
      <c r="AN42" s="217">
        <f>IF($A42=0,"",IF(VLOOKUP(HjArk!$D10,Tab1,40,FALSE)=0,"",VLOOKUP(HjArk!$D10,Tab1,40,FALSE)))</f>
      </c>
      <c r="AO42" s="217">
        <f>IF($A42=0,"",IF(VLOOKUP(HjArk!$D10,Tab1,41,FALSE)=0,"",VLOOKUP(HjArk!$D10,Tab1,41,FALSE)))</f>
      </c>
      <c r="AP42" s="217">
        <f>IF($A42=0,"",IF(VLOOKUP(HjArk!$D10,Tab1,42,FALSE)=0,"",VLOOKUP(HjArk!$D10,Tab1,42,FALSE)))</f>
      </c>
      <c r="AQ42" s="217">
        <f>IF($A42=0,"",IF(VLOOKUP(HjArk!$D10,Tab1,43,FALSE)=0,"",VLOOKUP(HjArk!$D10,Tab1,43,FALSE)))</f>
      </c>
      <c r="AR42" s="217">
        <f>IF($A42=0,"",IF(VLOOKUP(HjArk!$D10,Tab1,44,FALSE)=0,"",VLOOKUP(HjArk!$D10,Tab1,44,FALSE)))</f>
      </c>
      <c r="AS42" s="217">
        <f>IF($A42=0,"",IF(VLOOKUP(HjArk!$D10,Tab1,45,FALSE)=0,"",VLOOKUP(HjArk!$D10,Tab1,45,FALSE)))</f>
      </c>
      <c r="AT42" s="217">
        <f>IF($A42=0,"",IF(VLOOKUP(HjArk!$D10,Tab1,46,FALSE)=0,"",VLOOKUP(HjArk!$D10,Tab1,46,FALSE)))</f>
      </c>
      <c r="AU42" s="217">
        <f>IF($A42=0,"",IF(VLOOKUP(HjArk!$D10,Tab1,47,FALSE)=0,"",VLOOKUP(HjArk!$D10,Tab1,47,FALSE)))</f>
      </c>
      <c r="AV42" s="217">
        <f>IF($A42=0,"",IF(VLOOKUP(HjArk!$D10,Tab1,48,FALSE)=0,"",VLOOKUP(HjArk!$D10,Tab1,48,FALSE)))</f>
      </c>
      <c r="AW42" s="217">
        <f>IF($A42=0,"",IF(VLOOKUP(HjArk!$D10,Tab1,49,FALSE)=0,"",VLOOKUP(HjArk!$D10,Tab1,49,FALSE)))</f>
      </c>
      <c r="AX42" s="217">
        <f>IF($A42=0,"",IF(VLOOKUP(HjArk!$D10,Tab1,50,FALSE)=0,"",VLOOKUP(HjArk!$D10,Tab1,50,FALSE)))</f>
      </c>
      <c r="AY42" s="217">
        <f>IF($A42=0,"",IF(VLOOKUP(HjArk!$D10,Tab1,51,FALSE)=0,"",VLOOKUP(HjArk!$D10,Tab1,51,FALSE)))</f>
      </c>
      <c r="AZ42" s="217">
        <f>IF($A42=0,"",IF(VLOOKUP(HjArk!$D10,Tab1,52,FALSE)=0,"",VLOOKUP(HjArk!$D10,Tab1,52,FALSE)))</f>
      </c>
      <c r="BA42" s="217">
        <f>IF($A42=0,"",IF(VLOOKUP(HjArk!$D10,Tab1,53,FALSE)=0,"",VLOOKUP(HjArk!$D10,Tab1,53,FALSE)))</f>
      </c>
      <c r="BB42" s="217">
        <f>IF($A42=0,"",IF(VLOOKUP(HjArk!$D10,Tab1,54,FALSE)=0,"",VLOOKUP(HjArk!$D10,Tab1,54,FALSE)))</f>
      </c>
      <c r="BC42" s="217">
        <f>IF($A42=0,"",IF(VLOOKUP(HjArk!$D10,Tab1,55,FALSE)=0,"",VLOOKUP(HjArk!$D10,Tab1,55,FALSE)))</f>
      </c>
      <c r="BD42" s="217">
        <f>IF($A42=0,"",IF(VLOOKUP(HjArk!$D10,Tab1,56,FALSE)=0,"",VLOOKUP(HjArk!$D10,Tab1,56,FALSE)))</f>
      </c>
      <c r="BE42" s="217">
        <f>IF($A42=0,"",IF(VLOOKUP(HjArk!$D10,Tab1,57,FALSE)=0,"",VLOOKUP(HjArk!$D10,Tab1,57,FALSE)))</f>
      </c>
      <c r="BF42" s="217">
        <f>IF($A42=0,"",IF(VLOOKUP(HjArk!$D10,Tab1,58,FALSE)=0,"",VLOOKUP(HjArk!$D10,Tab1,58,FALSE)))</f>
      </c>
      <c r="BG42" s="217">
        <f>IF($A42=0,"",IF(VLOOKUP(HjArk!$D10,Tab1,59,FALSE)=0,"",VLOOKUP(HjArk!$D10,Tab1,59,FALSE)))</f>
      </c>
      <c r="BH42" s="217">
        <f>IF($A42=0,"",IF(VLOOKUP(HjArk!$D10,Tab1,60,FALSE)=0,"",VLOOKUP(HjArk!$D10,Tab1,60,FALSE)))</f>
      </c>
      <c r="BI42" s="217">
        <f>IF($A42=0,"",IF(VLOOKUP(HjArk!$D10,Tab1,61,FALSE)=0,"",VLOOKUP(HjArk!$D10,Tab1,61,FALSE)))</f>
      </c>
      <c r="BJ42" s="217"/>
      <c r="BK42" s="217"/>
      <c r="BL42" s="218"/>
    </row>
    <row r="43" spans="1:64" ht="12.75">
      <c r="A43" s="132" t="str">
        <f>HjArk!B11</f>
        <v>JH-63KG</v>
      </c>
      <c r="B43" s="216" t="str">
        <f>IF($A43=0,"",IF(VLOOKUP(HjArk!$D11,Tab1,2,FALSE)=0,"",VLOOKUP(HjArk!$D11,Tab1,2,FALSE)))</f>
        <v>I40</v>
      </c>
      <c r="C43" s="217" t="str">
        <f>IF($A43=0,"",IF(VLOOKUP(HjArk!$D11,Tab1,3,FALSE)=0,"",VLOOKUP(HjArk!$D11,Tab1,3,FALSE)))</f>
        <v>I42</v>
      </c>
      <c r="D43" s="217" t="str">
        <f>IF($A43=0,"",IF(VLOOKUP(HjArk!$D11,Tab1,4,FALSE)=0,"",VLOOKUP(HjArk!$D11,Tab1,4,FALSE)))</f>
        <v>L33</v>
      </c>
      <c r="E43" s="217">
        <f>IF($A43=0,"",IF(VLOOKUP(HjArk!$D11,Tab1,5,FALSE)=0,"",VLOOKUP(HjArk!$D11,Tab1,5,FALSE)))</f>
      </c>
      <c r="F43" s="217">
        <f>IF($A43=0,"",IF(VLOOKUP(HjArk!$D11,Tab1,6,FALSE)=0,"",VLOOKUP(HjArk!$D11,Tab1,6,FALSE)))</f>
      </c>
      <c r="G43" s="217">
        <f>IF($A43=0,"",IF(VLOOKUP(HjArk!$D11,Tab1,7,FALSE)=0,"",VLOOKUP(HjArk!$D11,Tab1,7,FALSE)))</f>
      </c>
      <c r="H43" s="217">
        <f>IF($A43=0,"",IF(VLOOKUP(HjArk!$D11,Tab1,8,FALSE)=0,"",VLOOKUP(HjArk!$D11,Tab1,8,FALSE)))</f>
      </c>
      <c r="I43" s="217">
        <f>IF($A43=0,"",IF(VLOOKUP(HjArk!$D11,Tab1,9,FALSE)=0,"",VLOOKUP(HjArk!$D11,Tab1,9,FALSE)))</f>
      </c>
      <c r="J43" s="217">
        <f>IF($A43=0,"",IF(VLOOKUP(HjArk!$D11,Tab1,10,FALSE)=0,"",VLOOKUP(HjArk!$D11,Tab1,10,FALSE)))</f>
      </c>
      <c r="K43" s="217">
        <f>IF($A43=0,"",IF(VLOOKUP(HjArk!$D11,Tab1,11,FALSE)=0,"",VLOOKUP(HjArk!$D11,Tab1,11,FALSE)))</f>
      </c>
      <c r="L43" s="217">
        <f>IF($A43=0,"",IF(VLOOKUP(HjArk!$D11,Tab1,12,FALSE)=0,"",VLOOKUP(HjArk!$D11,Tab1,12,FALSE)))</f>
      </c>
      <c r="M43" s="217">
        <f>IF($A43=0,"",IF(VLOOKUP(HjArk!$D11,Tab1,13,FALSE)=0,"",VLOOKUP(HjArk!$D11,Tab1,13,FALSE)))</f>
      </c>
      <c r="N43" s="217">
        <f>IF($A43=0,"",IF(VLOOKUP(HjArk!$D11,Tab1,14,FALSE)=0,"",VLOOKUP(HjArk!$D11,Tab1,14,FALSE)))</f>
      </c>
      <c r="O43" s="217">
        <f>IF($A43=0,"",IF(VLOOKUP(HjArk!$D11,Tab1,15,FALSE)=0,"",VLOOKUP(HjArk!$D11,Tab1,15,FALSE)))</f>
      </c>
      <c r="P43" s="217">
        <f>IF($A43=0,"",IF(VLOOKUP(HjArk!$D11,Tab1,16,FALSE)=0,"",VLOOKUP(HjArk!$D11,Tab1,16,FALSE)))</f>
      </c>
      <c r="Q43" s="217">
        <f>IF($A43=0,"",IF(VLOOKUP(HjArk!$D11,Tab1,17,FALSE)=0,"",VLOOKUP(HjArk!$D11,Tab1,17,FALSE)))</f>
      </c>
      <c r="R43" s="217">
        <f>IF($A43=0,"",IF(VLOOKUP(HjArk!$D11,Tab1,18,FALSE)=0,"",VLOOKUP(HjArk!$D11,Tab1,18,FALSE)))</f>
      </c>
      <c r="S43" s="217">
        <f>IF($A43=0,"",IF(VLOOKUP(HjArk!$D11,Tab1,19,FALSE)=0,"",VLOOKUP(HjArk!$D11,Tab1,19,FALSE)))</f>
      </c>
      <c r="T43" s="217">
        <f>IF($A43=0,"",IF(VLOOKUP(HjArk!$D11,Tab1,20,FALSE)=0,"",VLOOKUP(HjArk!$D11,Tab1,20,FALSE)))</f>
      </c>
      <c r="U43" s="217">
        <f>IF($A43=0,"",IF(VLOOKUP(HjArk!$D11,Tab1,21,FALSE)=0,"",VLOOKUP(HjArk!$D11,Tab1,21,FALSE)))</f>
      </c>
      <c r="V43" s="217">
        <f>IF($A43=0,"",IF(VLOOKUP(HjArk!$D11,Tab1,22,FALSE)=0,"",VLOOKUP(HjArk!$D11,Tab1,22,FALSE)))</f>
      </c>
      <c r="W43" s="217">
        <f>IF($A43=0,"",IF(VLOOKUP(HjArk!$D11,Tab1,23,FALSE)=0,"",VLOOKUP(HjArk!$D11,Tab1,23,FALSE)))</f>
      </c>
      <c r="X43" s="217">
        <f>IF($A43=0,"",IF(VLOOKUP(HjArk!$D11,Tab1,24,FALSE)=0,"",VLOOKUP(HjArk!$D11,Tab1,24,FALSE)))</f>
      </c>
      <c r="Y43" s="217">
        <f>IF($A43=0,"",IF(VLOOKUP(HjArk!$D11,Tab1,25,FALSE)=0,"",VLOOKUP(HjArk!$D11,Tab1,25,FALSE)))</f>
      </c>
      <c r="Z43" s="217">
        <f>IF($A43=0,"",IF(VLOOKUP(HjArk!$D11,Tab1,26,FALSE)=0,"",VLOOKUP(HjArk!$D11,Tab1,26,FALSE)))</f>
      </c>
      <c r="AA43" s="217">
        <f>IF($A43=0,"",IF(VLOOKUP(HjArk!$D11,Tab1,27,FALSE)=0,"",VLOOKUP(HjArk!$D11,Tab1,27,FALSE)))</f>
      </c>
      <c r="AB43" s="217">
        <f>IF($A43=0,"",IF(VLOOKUP(HjArk!$D11,Tab1,28,FALSE)=0,"",VLOOKUP(HjArk!$D11,Tab1,28,FALSE)))</f>
      </c>
      <c r="AC43" s="217">
        <f>IF($A43=0,"",IF(VLOOKUP(HjArk!$D11,Tab1,29,FALSE)=0,"",VLOOKUP(HjArk!$D11,Tab1,29,FALSE)))</f>
      </c>
      <c r="AD43" s="217">
        <f>IF($A43=0,"",IF(VLOOKUP(HjArk!$D11,Tab1,30,FALSE)=0,"",VLOOKUP(HjArk!$D11,Tab1,30,FALSE)))</f>
      </c>
      <c r="AE43" s="217">
        <f>IF($A43=0,"",IF(VLOOKUP(HjArk!$D11,Tab1,31,FALSE)=0,"",VLOOKUP(HjArk!$D11,Tab1,31,FALSE)))</f>
      </c>
      <c r="AF43" s="217">
        <f>IF($A43=0,"",IF(VLOOKUP(HjArk!$D11,Tab1,32,FALSE)=0,"",VLOOKUP(HjArk!$D11,Tab1,32,FALSE)))</f>
      </c>
      <c r="AG43" s="217">
        <f>IF($A43=0,"",IF(VLOOKUP(HjArk!$D11,Tab1,33,FALSE)=0,"",VLOOKUP(HjArk!$D11,Tab1,33,FALSE)))</f>
      </c>
      <c r="AH43" s="217">
        <f>IF($A43=0,"",IF(VLOOKUP(HjArk!$D11,Tab1,34,FALSE)=0,"",VLOOKUP(HjArk!$D11,Tab1,34,FALSE)))</f>
      </c>
      <c r="AI43" s="217">
        <f>IF($A43=0,"",IF(VLOOKUP(HjArk!$D11,Tab1,35,FALSE)=0,"",VLOOKUP(HjArk!$D11,Tab1,35,FALSE)))</f>
      </c>
      <c r="AJ43" s="217">
        <f>IF($A43=0,"",IF(VLOOKUP(HjArk!$D11,Tab1,36,FALSE)=0,"",VLOOKUP(HjArk!$D11,Tab1,36,FALSE)))</f>
      </c>
      <c r="AK43" s="217">
        <f>IF($A43=0,"",IF(VLOOKUP(HjArk!$D11,Tab1,37,FALSE)=0,"",VLOOKUP(HjArk!$D11,Tab1,37,FALSE)))</f>
      </c>
      <c r="AL43" s="217">
        <f>IF($A43=0,"",IF(VLOOKUP(HjArk!$D11,Tab1,38,FALSE)=0,"",VLOOKUP(HjArk!$D11,Tab1,38,FALSE)))</f>
      </c>
      <c r="AM43" s="217">
        <f>IF($A43=0,"",IF(VLOOKUP(HjArk!$D11,Tab1,39,FALSE)=0,"",VLOOKUP(HjArk!$D11,Tab1,39,FALSE)))</f>
      </c>
      <c r="AN43" s="217">
        <f>IF($A43=0,"",IF(VLOOKUP(HjArk!$D11,Tab1,40,FALSE)=0,"",VLOOKUP(HjArk!$D11,Tab1,40,FALSE)))</f>
      </c>
      <c r="AO43" s="217">
        <f>IF($A43=0,"",IF(VLOOKUP(HjArk!$D11,Tab1,41,FALSE)=0,"",VLOOKUP(HjArk!$D11,Tab1,41,FALSE)))</f>
      </c>
      <c r="AP43" s="217">
        <f>IF($A43=0,"",IF(VLOOKUP(HjArk!$D11,Tab1,42,FALSE)=0,"",VLOOKUP(HjArk!$D11,Tab1,42,FALSE)))</f>
      </c>
      <c r="AQ43" s="217">
        <f>IF($A43=0,"",IF(VLOOKUP(HjArk!$D11,Tab1,43,FALSE)=0,"",VLOOKUP(HjArk!$D11,Tab1,43,FALSE)))</f>
      </c>
      <c r="AR43" s="217">
        <f>IF($A43=0,"",IF(VLOOKUP(HjArk!$D11,Tab1,44,FALSE)=0,"",VLOOKUP(HjArk!$D11,Tab1,44,FALSE)))</f>
      </c>
      <c r="AS43" s="217">
        <f>IF($A43=0,"",IF(VLOOKUP(HjArk!$D11,Tab1,45,FALSE)=0,"",VLOOKUP(HjArk!$D11,Tab1,45,FALSE)))</f>
      </c>
      <c r="AT43" s="217">
        <f>IF($A43=0,"",IF(VLOOKUP(HjArk!$D11,Tab1,46,FALSE)=0,"",VLOOKUP(HjArk!$D11,Tab1,46,FALSE)))</f>
      </c>
      <c r="AU43" s="217">
        <f>IF($A43=0,"",IF(VLOOKUP(HjArk!$D11,Tab1,47,FALSE)=0,"",VLOOKUP(HjArk!$D11,Tab1,47,FALSE)))</f>
      </c>
      <c r="AV43" s="217">
        <f>IF($A43=0,"",IF(VLOOKUP(HjArk!$D11,Tab1,48,FALSE)=0,"",VLOOKUP(HjArk!$D11,Tab1,48,FALSE)))</f>
      </c>
      <c r="AW43" s="217">
        <f>IF($A43=0,"",IF(VLOOKUP(HjArk!$D11,Tab1,49,FALSE)=0,"",VLOOKUP(HjArk!$D11,Tab1,49,FALSE)))</f>
      </c>
      <c r="AX43" s="217">
        <f>IF($A43=0,"",IF(VLOOKUP(HjArk!$D11,Tab1,50,FALSE)=0,"",VLOOKUP(HjArk!$D11,Tab1,50,FALSE)))</f>
      </c>
      <c r="AY43" s="217">
        <f>IF($A43=0,"",IF(VLOOKUP(HjArk!$D11,Tab1,51,FALSE)=0,"",VLOOKUP(HjArk!$D11,Tab1,51,FALSE)))</f>
      </c>
      <c r="AZ43" s="217">
        <f>IF($A43=0,"",IF(VLOOKUP(HjArk!$D11,Tab1,52,FALSE)=0,"",VLOOKUP(HjArk!$D11,Tab1,52,FALSE)))</f>
      </c>
      <c r="BA43" s="217">
        <f>IF($A43=0,"",IF(VLOOKUP(HjArk!$D11,Tab1,53,FALSE)=0,"",VLOOKUP(HjArk!$D11,Tab1,53,FALSE)))</f>
      </c>
      <c r="BB43" s="217">
        <f>IF($A43=0,"",IF(VLOOKUP(HjArk!$D11,Tab1,54,FALSE)=0,"",VLOOKUP(HjArk!$D11,Tab1,54,FALSE)))</f>
      </c>
      <c r="BC43" s="217">
        <f>IF($A43=0,"",IF(VLOOKUP(HjArk!$D11,Tab1,55,FALSE)=0,"",VLOOKUP(HjArk!$D11,Tab1,55,FALSE)))</f>
      </c>
      <c r="BD43" s="217">
        <f>IF($A43=0,"",IF(VLOOKUP(HjArk!$D11,Tab1,56,FALSE)=0,"",VLOOKUP(HjArk!$D11,Tab1,56,FALSE)))</f>
      </c>
      <c r="BE43" s="217">
        <f>IF($A43=0,"",IF(VLOOKUP(HjArk!$D11,Tab1,57,FALSE)=0,"",VLOOKUP(HjArk!$D11,Tab1,57,FALSE)))</f>
      </c>
      <c r="BF43" s="217">
        <f>IF($A43=0,"",IF(VLOOKUP(HjArk!$D11,Tab1,58,FALSE)=0,"",VLOOKUP(HjArk!$D11,Tab1,58,FALSE)))</f>
      </c>
      <c r="BG43" s="217">
        <f>IF($A43=0,"",IF(VLOOKUP(HjArk!$D11,Tab1,59,FALSE)=0,"",VLOOKUP(HjArk!$D11,Tab1,59,FALSE)))</f>
      </c>
      <c r="BH43" s="217">
        <f>IF($A43=0,"",IF(VLOOKUP(HjArk!$D11,Tab1,60,FALSE)=0,"",VLOOKUP(HjArk!$D11,Tab1,60,FALSE)))</f>
      </c>
      <c r="BI43" s="217">
        <f>IF($A43=0,"",IF(VLOOKUP(HjArk!$D11,Tab1,61,FALSE)=0,"",VLOOKUP(HjArk!$D11,Tab1,61,FALSE)))</f>
      </c>
      <c r="BJ43" s="217"/>
      <c r="BK43" s="217"/>
      <c r="BL43" s="218"/>
    </row>
    <row r="44" spans="1:64" ht="12.75">
      <c r="A44" s="132" t="str">
        <f>HjArk!B12</f>
        <v>D-55KG</v>
      </c>
      <c r="B44" s="216" t="str">
        <f>IF($A44=0,"",IF(VLOOKUP(HjArk!$D12,Tab1,2,FALSE)=0,"",VLOOKUP(HjArk!$D12,Tab1,2,FALSE)))</f>
        <v>L31</v>
      </c>
      <c r="C44" s="217" t="str">
        <f>IF($A44=0,"",IF(VLOOKUP(HjArk!$D12,Tab1,3,FALSE)=0,"",VLOOKUP(HjArk!$D12,Tab1,3,FALSE)))</f>
        <v>L33</v>
      </c>
      <c r="D44" s="217">
        <f>IF($A44=0,"",IF(VLOOKUP(HjArk!$D12,Tab1,4,FALSE)=0,"",VLOOKUP(HjArk!$D12,Tab1,4,FALSE)))</f>
      </c>
      <c r="E44" s="217">
        <f>IF($A44=0,"",IF(VLOOKUP(HjArk!$D12,Tab1,5,FALSE)=0,"",VLOOKUP(HjArk!$D12,Tab1,5,FALSE)))</f>
      </c>
      <c r="F44" s="217">
        <f>IF($A44=0,"",IF(VLOOKUP(HjArk!$D12,Tab1,6,FALSE)=0,"",VLOOKUP(HjArk!$D12,Tab1,6,FALSE)))</f>
      </c>
      <c r="G44" s="217">
        <f>IF($A44=0,"",IF(VLOOKUP(HjArk!$D12,Tab1,7,FALSE)=0,"",VLOOKUP(HjArk!$D12,Tab1,7,FALSE)))</f>
      </c>
      <c r="H44" s="217">
        <f>IF($A44=0,"",IF(VLOOKUP(HjArk!$D12,Tab1,8,FALSE)=0,"",VLOOKUP(HjArk!$D12,Tab1,8,FALSE)))</f>
      </c>
      <c r="I44" s="217">
        <f>IF($A44=0,"",IF(VLOOKUP(HjArk!$D12,Tab1,9,FALSE)=0,"",VLOOKUP(HjArk!$D12,Tab1,9,FALSE)))</f>
      </c>
      <c r="J44" s="217">
        <f>IF($A44=0,"",IF(VLOOKUP(HjArk!$D12,Tab1,10,FALSE)=0,"",VLOOKUP(HjArk!$D12,Tab1,10,FALSE)))</f>
      </c>
      <c r="K44" s="217">
        <f>IF($A44=0,"",IF(VLOOKUP(HjArk!$D12,Tab1,11,FALSE)=0,"",VLOOKUP(HjArk!$D12,Tab1,11,FALSE)))</f>
      </c>
      <c r="L44" s="217">
        <f>IF($A44=0,"",IF(VLOOKUP(HjArk!$D12,Tab1,12,FALSE)=0,"",VLOOKUP(HjArk!$D12,Tab1,12,FALSE)))</f>
      </c>
      <c r="M44" s="217">
        <f>IF($A44=0,"",IF(VLOOKUP(HjArk!$D12,Tab1,13,FALSE)=0,"",VLOOKUP(HjArk!$D12,Tab1,13,FALSE)))</f>
      </c>
      <c r="N44" s="217">
        <f>IF($A44=0,"",IF(VLOOKUP(HjArk!$D12,Tab1,14,FALSE)=0,"",VLOOKUP(HjArk!$D12,Tab1,14,FALSE)))</f>
      </c>
      <c r="O44" s="217">
        <f>IF($A44=0,"",IF(VLOOKUP(HjArk!$D12,Tab1,15,FALSE)=0,"",VLOOKUP(HjArk!$D12,Tab1,15,FALSE)))</f>
      </c>
      <c r="P44" s="217">
        <f>IF($A44=0,"",IF(VLOOKUP(HjArk!$D12,Tab1,16,FALSE)=0,"",VLOOKUP(HjArk!$D12,Tab1,16,FALSE)))</f>
      </c>
      <c r="Q44" s="217">
        <f>IF($A44=0,"",IF(VLOOKUP(HjArk!$D12,Tab1,17,FALSE)=0,"",VLOOKUP(HjArk!$D12,Tab1,17,FALSE)))</f>
      </c>
      <c r="R44" s="217">
        <f>IF($A44=0,"",IF(VLOOKUP(HjArk!$D12,Tab1,18,FALSE)=0,"",VLOOKUP(HjArk!$D12,Tab1,18,FALSE)))</f>
      </c>
      <c r="S44" s="217">
        <f>IF($A44=0,"",IF(VLOOKUP(HjArk!$D12,Tab1,19,FALSE)=0,"",VLOOKUP(HjArk!$D12,Tab1,19,FALSE)))</f>
      </c>
      <c r="T44" s="217">
        <f>IF($A44=0,"",IF(VLOOKUP(HjArk!$D12,Tab1,20,FALSE)=0,"",VLOOKUP(HjArk!$D12,Tab1,20,FALSE)))</f>
      </c>
      <c r="U44" s="217">
        <f>IF($A44=0,"",IF(VLOOKUP(HjArk!$D12,Tab1,21,FALSE)=0,"",VLOOKUP(HjArk!$D12,Tab1,21,FALSE)))</f>
      </c>
      <c r="V44" s="217">
        <f>IF($A44=0,"",IF(VLOOKUP(HjArk!$D12,Tab1,22,FALSE)=0,"",VLOOKUP(HjArk!$D12,Tab1,22,FALSE)))</f>
      </c>
      <c r="W44" s="217">
        <f>IF($A44=0,"",IF(VLOOKUP(HjArk!$D12,Tab1,23,FALSE)=0,"",VLOOKUP(HjArk!$D12,Tab1,23,FALSE)))</f>
      </c>
      <c r="X44" s="217">
        <f>IF($A44=0,"",IF(VLOOKUP(HjArk!$D12,Tab1,24,FALSE)=0,"",VLOOKUP(HjArk!$D12,Tab1,24,FALSE)))</f>
      </c>
      <c r="Y44" s="217">
        <f>IF($A44=0,"",IF(VLOOKUP(HjArk!$D12,Tab1,25,FALSE)=0,"",VLOOKUP(HjArk!$D12,Tab1,25,FALSE)))</f>
      </c>
      <c r="Z44" s="217">
        <f>IF($A44=0,"",IF(VLOOKUP(HjArk!$D12,Tab1,26,FALSE)=0,"",VLOOKUP(HjArk!$D12,Tab1,26,FALSE)))</f>
      </c>
      <c r="AA44" s="217">
        <f>IF($A44=0,"",IF(VLOOKUP(HjArk!$D12,Tab1,27,FALSE)=0,"",VLOOKUP(HjArk!$D12,Tab1,27,FALSE)))</f>
      </c>
      <c r="AB44" s="217">
        <f>IF($A44=0,"",IF(VLOOKUP(HjArk!$D12,Tab1,28,FALSE)=0,"",VLOOKUP(HjArk!$D12,Tab1,28,FALSE)))</f>
      </c>
      <c r="AC44" s="217">
        <f>IF($A44=0,"",IF(VLOOKUP(HjArk!$D12,Tab1,29,FALSE)=0,"",VLOOKUP(HjArk!$D12,Tab1,29,FALSE)))</f>
      </c>
      <c r="AD44" s="217">
        <f>IF($A44=0,"",IF(VLOOKUP(HjArk!$D12,Tab1,30,FALSE)=0,"",VLOOKUP(HjArk!$D12,Tab1,30,FALSE)))</f>
      </c>
      <c r="AE44" s="217">
        <f>IF($A44=0,"",IF(VLOOKUP(HjArk!$D12,Tab1,31,FALSE)=0,"",VLOOKUP(HjArk!$D12,Tab1,31,FALSE)))</f>
      </c>
      <c r="AF44" s="217">
        <f>IF($A44=0,"",IF(VLOOKUP(HjArk!$D12,Tab1,32,FALSE)=0,"",VLOOKUP(HjArk!$D12,Tab1,32,FALSE)))</f>
      </c>
      <c r="AG44" s="217">
        <f>IF($A44=0,"",IF(VLOOKUP(HjArk!$D12,Tab1,33,FALSE)=0,"",VLOOKUP(HjArk!$D12,Tab1,33,FALSE)))</f>
      </c>
      <c r="AH44" s="217">
        <f>IF($A44=0,"",IF(VLOOKUP(HjArk!$D12,Tab1,34,FALSE)=0,"",VLOOKUP(HjArk!$D12,Tab1,34,FALSE)))</f>
      </c>
      <c r="AI44" s="217">
        <f>IF($A44=0,"",IF(VLOOKUP(HjArk!$D12,Tab1,35,FALSE)=0,"",VLOOKUP(HjArk!$D12,Tab1,35,FALSE)))</f>
      </c>
      <c r="AJ44" s="217">
        <f>IF($A44=0,"",IF(VLOOKUP(HjArk!$D12,Tab1,36,FALSE)=0,"",VLOOKUP(HjArk!$D12,Tab1,36,FALSE)))</f>
      </c>
      <c r="AK44" s="217">
        <f>IF($A44=0,"",IF(VLOOKUP(HjArk!$D12,Tab1,37,FALSE)=0,"",VLOOKUP(HjArk!$D12,Tab1,37,FALSE)))</f>
      </c>
      <c r="AL44" s="217">
        <f>IF($A44=0,"",IF(VLOOKUP(HjArk!$D12,Tab1,38,FALSE)=0,"",VLOOKUP(HjArk!$D12,Tab1,38,FALSE)))</f>
      </c>
      <c r="AM44" s="217">
        <f>IF($A44=0,"",IF(VLOOKUP(HjArk!$D12,Tab1,39,FALSE)=0,"",VLOOKUP(HjArk!$D12,Tab1,39,FALSE)))</f>
      </c>
      <c r="AN44" s="217">
        <f>IF($A44=0,"",IF(VLOOKUP(HjArk!$D12,Tab1,40,FALSE)=0,"",VLOOKUP(HjArk!$D12,Tab1,40,FALSE)))</f>
      </c>
      <c r="AO44" s="217">
        <f>IF($A44=0,"",IF(VLOOKUP(HjArk!$D12,Tab1,41,FALSE)=0,"",VLOOKUP(HjArk!$D12,Tab1,41,FALSE)))</f>
      </c>
      <c r="AP44" s="217">
        <f>IF($A44=0,"",IF(VLOOKUP(HjArk!$D12,Tab1,42,FALSE)=0,"",VLOOKUP(HjArk!$D12,Tab1,42,FALSE)))</f>
      </c>
      <c r="AQ44" s="217">
        <f>IF($A44=0,"",IF(VLOOKUP(HjArk!$D12,Tab1,43,FALSE)=0,"",VLOOKUP(HjArk!$D12,Tab1,43,FALSE)))</f>
      </c>
      <c r="AR44" s="217">
        <f>IF($A44=0,"",IF(VLOOKUP(HjArk!$D12,Tab1,44,FALSE)=0,"",VLOOKUP(HjArk!$D12,Tab1,44,FALSE)))</f>
      </c>
      <c r="AS44" s="217">
        <f>IF($A44=0,"",IF(VLOOKUP(HjArk!$D12,Tab1,45,FALSE)=0,"",VLOOKUP(HjArk!$D12,Tab1,45,FALSE)))</f>
      </c>
      <c r="AT44" s="217">
        <f>IF($A44=0,"",IF(VLOOKUP(HjArk!$D12,Tab1,46,FALSE)=0,"",VLOOKUP(HjArk!$D12,Tab1,46,FALSE)))</f>
      </c>
      <c r="AU44" s="217">
        <f>IF($A44=0,"",IF(VLOOKUP(HjArk!$D12,Tab1,47,FALSE)=0,"",VLOOKUP(HjArk!$D12,Tab1,47,FALSE)))</f>
      </c>
      <c r="AV44" s="217">
        <f>IF($A44=0,"",IF(VLOOKUP(HjArk!$D12,Tab1,48,FALSE)=0,"",VLOOKUP(HjArk!$D12,Tab1,48,FALSE)))</f>
      </c>
      <c r="AW44" s="217">
        <f>IF($A44=0,"",IF(VLOOKUP(HjArk!$D12,Tab1,49,FALSE)=0,"",VLOOKUP(HjArk!$D12,Tab1,49,FALSE)))</f>
      </c>
      <c r="AX44" s="217">
        <f>IF($A44=0,"",IF(VLOOKUP(HjArk!$D12,Tab1,50,FALSE)=0,"",VLOOKUP(HjArk!$D12,Tab1,50,FALSE)))</f>
      </c>
      <c r="AY44" s="217">
        <f>IF($A44=0,"",IF(VLOOKUP(HjArk!$D12,Tab1,51,FALSE)=0,"",VLOOKUP(HjArk!$D12,Tab1,51,FALSE)))</f>
      </c>
      <c r="AZ44" s="217">
        <f>IF($A44=0,"",IF(VLOOKUP(HjArk!$D12,Tab1,52,FALSE)=0,"",VLOOKUP(HjArk!$D12,Tab1,52,FALSE)))</f>
      </c>
      <c r="BA44" s="217">
        <f>IF($A44=0,"",IF(VLOOKUP(HjArk!$D12,Tab1,53,FALSE)=0,"",VLOOKUP(HjArk!$D12,Tab1,53,FALSE)))</f>
      </c>
      <c r="BB44" s="217">
        <f>IF($A44=0,"",IF(VLOOKUP(HjArk!$D12,Tab1,54,FALSE)=0,"",VLOOKUP(HjArk!$D12,Tab1,54,FALSE)))</f>
      </c>
      <c r="BC44" s="217">
        <f>IF($A44=0,"",IF(VLOOKUP(HjArk!$D12,Tab1,55,FALSE)=0,"",VLOOKUP(HjArk!$D12,Tab1,55,FALSE)))</f>
      </c>
      <c r="BD44" s="217">
        <f>IF($A44=0,"",IF(VLOOKUP(HjArk!$D12,Tab1,56,FALSE)=0,"",VLOOKUP(HjArk!$D12,Tab1,56,FALSE)))</f>
      </c>
      <c r="BE44" s="217">
        <f>IF($A44=0,"",IF(VLOOKUP(HjArk!$D12,Tab1,57,FALSE)=0,"",VLOOKUP(HjArk!$D12,Tab1,57,FALSE)))</f>
      </c>
      <c r="BF44" s="217">
        <f>IF($A44=0,"",IF(VLOOKUP(HjArk!$D12,Tab1,58,FALSE)=0,"",VLOOKUP(HjArk!$D12,Tab1,58,FALSE)))</f>
      </c>
      <c r="BG44" s="217">
        <f>IF($A44=0,"",IF(VLOOKUP(HjArk!$D12,Tab1,59,FALSE)=0,"",VLOOKUP(HjArk!$D12,Tab1,59,FALSE)))</f>
      </c>
      <c r="BH44" s="217">
        <f>IF($A44=0,"",IF(VLOOKUP(HjArk!$D12,Tab1,60,FALSE)=0,"",VLOOKUP(HjArk!$D12,Tab1,60,FALSE)))</f>
      </c>
      <c r="BI44" s="217">
        <f>IF($A44=0,"",IF(VLOOKUP(HjArk!$D12,Tab1,61,FALSE)=0,"",VLOOKUP(HjArk!$D12,Tab1,61,FALSE)))</f>
      </c>
      <c r="BJ44" s="217"/>
      <c r="BK44" s="217"/>
      <c r="BL44" s="218"/>
    </row>
    <row r="45" spans="1:64" ht="12.75">
      <c r="A45" s="132" t="str">
        <f>HjArk!B13</f>
        <v>JH-57KG</v>
      </c>
      <c r="B45" s="216" t="str">
        <f>IF($A45=0,"",IF(VLOOKUP(HjArk!$D13,Tab1,2,FALSE)=0,"",VLOOKUP(HjArk!$D13,Tab1,2,FALSE)))</f>
        <v>L31</v>
      </c>
      <c r="C45" s="217" t="str">
        <f>IF($A45=0,"",IF(VLOOKUP(HjArk!$D13,Tab1,3,FALSE)=0,"",VLOOKUP(HjArk!$D13,Tab1,3,FALSE)))</f>
        <v>L33</v>
      </c>
      <c r="D45" s="217">
        <f>IF($A45=0,"",IF(VLOOKUP(HjArk!$D13,Tab1,4,FALSE)=0,"",VLOOKUP(HjArk!$D13,Tab1,4,FALSE)))</f>
      </c>
      <c r="E45" s="217">
        <f>IF($A45=0,"",IF(VLOOKUP(HjArk!$D13,Tab1,5,FALSE)=0,"",VLOOKUP(HjArk!$D13,Tab1,5,FALSE)))</f>
      </c>
      <c r="F45" s="217">
        <f>IF($A45=0,"",IF(VLOOKUP(HjArk!$D13,Tab1,6,FALSE)=0,"",VLOOKUP(HjArk!$D13,Tab1,6,FALSE)))</f>
      </c>
      <c r="G45" s="217">
        <f>IF($A45=0,"",IF(VLOOKUP(HjArk!$D13,Tab1,7,FALSE)=0,"",VLOOKUP(HjArk!$D13,Tab1,7,FALSE)))</f>
      </c>
      <c r="H45" s="217">
        <f>IF($A45=0,"",IF(VLOOKUP(HjArk!$D13,Tab1,8,FALSE)=0,"",VLOOKUP(HjArk!$D13,Tab1,8,FALSE)))</f>
      </c>
      <c r="I45" s="217">
        <f>IF($A45=0,"",IF(VLOOKUP(HjArk!$D13,Tab1,9,FALSE)=0,"",VLOOKUP(HjArk!$D13,Tab1,9,FALSE)))</f>
      </c>
      <c r="J45" s="217">
        <f>IF($A45=0,"",IF(VLOOKUP(HjArk!$D13,Tab1,10,FALSE)=0,"",VLOOKUP(HjArk!$D13,Tab1,10,FALSE)))</f>
      </c>
      <c r="K45" s="217">
        <f>IF($A45=0,"",IF(VLOOKUP(HjArk!$D13,Tab1,11,FALSE)=0,"",VLOOKUP(HjArk!$D13,Tab1,11,FALSE)))</f>
      </c>
      <c r="L45" s="217">
        <f>IF($A45=0,"",IF(VLOOKUP(HjArk!$D13,Tab1,12,FALSE)=0,"",VLOOKUP(HjArk!$D13,Tab1,12,FALSE)))</f>
      </c>
      <c r="M45" s="217">
        <f>IF($A45=0,"",IF(VLOOKUP(HjArk!$D13,Tab1,13,FALSE)=0,"",VLOOKUP(HjArk!$D13,Tab1,13,FALSE)))</f>
      </c>
      <c r="N45" s="217">
        <f>IF($A45=0,"",IF(VLOOKUP(HjArk!$D13,Tab1,14,FALSE)=0,"",VLOOKUP(HjArk!$D13,Tab1,14,FALSE)))</f>
      </c>
      <c r="O45" s="217">
        <f>IF($A45=0,"",IF(VLOOKUP(HjArk!$D13,Tab1,15,FALSE)=0,"",VLOOKUP(HjArk!$D13,Tab1,15,FALSE)))</f>
      </c>
      <c r="P45" s="217">
        <f>IF($A45=0,"",IF(VLOOKUP(HjArk!$D13,Tab1,16,FALSE)=0,"",VLOOKUP(HjArk!$D13,Tab1,16,FALSE)))</f>
      </c>
      <c r="Q45" s="217">
        <f>IF($A45=0,"",IF(VLOOKUP(HjArk!$D13,Tab1,17,FALSE)=0,"",VLOOKUP(HjArk!$D13,Tab1,17,FALSE)))</f>
      </c>
      <c r="R45" s="217">
        <f>IF($A45=0,"",IF(VLOOKUP(HjArk!$D13,Tab1,18,FALSE)=0,"",VLOOKUP(HjArk!$D13,Tab1,18,FALSE)))</f>
      </c>
      <c r="S45" s="217">
        <f>IF($A45=0,"",IF(VLOOKUP(HjArk!$D13,Tab1,19,FALSE)=0,"",VLOOKUP(HjArk!$D13,Tab1,19,FALSE)))</f>
      </c>
      <c r="T45" s="217">
        <f>IF($A45=0,"",IF(VLOOKUP(HjArk!$D13,Tab1,20,FALSE)=0,"",VLOOKUP(HjArk!$D13,Tab1,20,FALSE)))</f>
      </c>
      <c r="U45" s="217">
        <f>IF($A45=0,"",IF(VLOOKUP(HjArk!$D13,Tab1,21,FALSE)=0,"",VLOOKUP(HjArk!$D13,Tab1,21,FALSE)))</f>
      </c>
      <c r="V45" s="217">
        <f>IF($A45=0,"",IF(VLOOKUP(HjArk!$D13,Tab1,22,FALSE)=0,"",VLOOKUP(HjArk!$D13,Tab1,22,FALSE)))</f>
      </c>
      <c r="W45" s="217">
        <f>IF($A45=0,"",IF(VLOOKUP(HjArk!$D13,Tab1,23,FALSE)=0,"",VLOOKUP(HjArk!$D13,Tab1,23,FALSE)))</f>
      </c>
      <c r="X45" s="217">
        <f>IF($A45=0,"",IF(VLOOKUP(HjArk!$D13,Tab1,24,FALSE)=0,"",VLOOKUP(HjArk!$D13,Tab1,24,FALSE)))</f>
      </c>
      <c r="Y45" s="217">
        <f>IF($A45=0,"",IF(VLOOKUP(HjArk!$D13,Tab1,25,FALSE)=0,"",VLOOKUP(HjArk!$D13,Tab1,25,FALSE)))</f>
      </c>
      <c r="Z45" s="217">
        <f>IF($A45=0,"",IF(VLOOKUP(HjArk!$D13,Tab1,26,FALSE)=0,"",VLOOKUP(HjArk!$D13,Tab1,26,FALSE)))</f>
      </c>
      <c r="AA45" s="217">
        <f>IF($A45=0,"",IF(VLOOKUP(HjArk!$D13,Tab1,27,FALSE)=0,"",VLOOKUP(HjArk!$D13,Tab1,27,FALSE)))</f>
      </c>
      <c r="AB45" s="217">
        <f>IF($A45=0,"",IF(VLOOKUP(HjArk!$D13,Tab1,28,FALSE)=0,"",VLOOKUP(HjArk!$D13,Tab1,28,FALSE)))</f>
      </c>
      <c r="AC45" s="217">
        <f>IF($A45=0,"",IF(VLOOKUP(HjArk!$D13,Tab1,29,FALSE)=0,"",VLOOKUP(HjArk!$D13,Tab1,29,FALSE)))</f>
      </c>
      <c r="AD45" s="217">
        <f>IF($A45=0,"",IF(VLOOKUP(HjArk!$D13,Tab1,30,FALSE)=0,"",VLOOKUP(HjArk!$D13,Tab1,30,FALSE)))</f>
      </c>
      <c r="AE45" s="217">
        <f>IF($A45=0,"",IF(VLOOKUP(HjArk!$D13,Tab1,31,FALSE)=0,"",VLOOKUP(HjArk!$D13,Tab1,31,FALSE)))</f>
      </c>
      <c r="AF45" s="217">
        <f>IF($A45=0,"",IF(VLOOKUP(HjArk!$D13,Tab1,32,FALSE)=0,"",VLOOKUP(HjArk!$D13,Tab1,32,FALSE)))</f>
      </c>
      <c r="AG45" s="217">
        <f>IF($A45=0,"",IF(VLOOKUP(HjArk!$D13,Tab1,33,FALSE)=0,"",VLOOKUP(HjArk!$D13,Tab1,33,FALSE)))</f>
      </c>
      <c r="AH45" s="217">
        <f>IF($A45=0,"",IF(VLOOKUP(HjArk!$D13,Tab1,34,FALSE)=0,"",VLOOKUP(HjArk!$D13,Tab1,34,FALSE)))</f>
      </c>
      <c r="AI45" s="217">
        <f>IF($A45=0,"",IF(VLOOKUP(HjArk!$D13,Tab1,35,FALSE)=0,"",VLOOKUP(HjArk!$D13,Tab1,35,FALSE)))</f>
      </c>
      <c r="AJ45" s="217">
        <f>IF($A45=0,"",IF(VLOOKUP(HjArk!$D13,Tab1,36,FALSE)=0,"",VLOOKUP(HjArk!$D13,Tab1,36,FALSE)))</f>
      </c>
      <c r="AK45" s="217">
        <f>IF($A45=0,"",IF(VLOOKUP(HjArk!$D13,Tab1,37,FALSE)=0,"",VLOOKUP(HjArk!$D13,Tab1,37,FALSE)))</f>
      </c>
      <c r="AL45" s="217">
        <f>IF($A45=0,"",IF(VLOOKUP(HjArk!$D13,Tab1,38,FALSE)=0,"",VLOOKUP(HjArk!$D13,Tab1,38,FALSE)))</f>
      </c>
      <c r="AM45" s="217">
        <f>IF($A45=0,"",IF(VLOOKUP(HjArk!$D13,Tab1,39,FALSE)=0,"",VLOOKUP(HjArk!$D13,Tab1,39,FALSE)))</f>
      </c>
      <c r="AN45" s="217">
        <f>IF($A45=0,"",IF(VLOOKUP(HjArk!$D13,Tab1,40,FALSE)=0,"",VLOOKUP(HjArk!$D13,Tab1,40,FALSE)))</f>
      </c>
      <c r="AO45" s="217">
        <f>IF($A45=0,"",IF(VLOOKUP(HjArk!$D13,Tab1,41,FALSE)=0,"",VLOOKUP(HjArk!$D13,Tab1,41,FALSE)))</f>
      </c>
      <c r="AP45" s="217">
        <f>IF($A45=0,"",IF(VLOOKUP(HjArk!$D13,Tab1,42,FALSE)=0,"",VLOOKUP(HjArk!$D13,Tab1,42,FALSE)))</f>
      </c>
      <c r="AQ45" s="217">
        <f>IF($A45=0,"",IF(VLOOKUP(HjArk!$D13,Tab1,43,FALSE)=0,"",VLOOKUP(HjArk!$D13,Tab1,43,FALSE)))</f>
      </c>
      <c r="AR45" s="217">
        <f>IF($A45=0,"",IF(VLOOKUP(HjArk!$D13,Tab1,44,FALSE)=0,"",VLOOKUP(HjArk!$D13,Tab1,44,FALSE)))</f>
      </c>
      <c r="AS45" s="217">
        <f>IF($A45=0,"",IF(VLOOKUP(HjArk!$D13,Tab1,45,FALSE)=0,"",VLOOKUP(HjArk!$D13,Tab1,45,FALSE)))</f>
      </c>
      <c r="AT45" s="217">
        <f>IF($A45=0,"",IF(VLOOKUP(HjArk!$D13,Tab1,46,FALSE)=0,"",VLOOKUP(HjArk!$D13,Tab1,46,FALSE)))</f>
      </c>
      <c r="AU45" s="217">
        <f>IF($A45=0,"",IF(VLOOKUP(HjArk!$D13,Tab1,47,FALSE)=0,"",VLOOKUP(HjArk!$D13,Tab1,47,FALSE)))</f>
      </c>
      <c r="AV45" s="217">
        <f>IF($A45=0,"",IF(VLOOKUP(HjArk!$D13,Tab1,48,FALSE)=0,"",VLOOKUP(HjArk!$D13,Tab1,48,FALSE)))</f>
      </c>
      <c r="AW45" s="217">
        <f>IF($A45=0,"",IF(VLOOKUP(HjArk!$D13,Tab1,49,FALSE)=0,"",VLOOKUP(HjArk!$D13,Tab1,49,FALSE)))</f>
      </c>
      <c r="AX45" s="217">
        <f>IF($A45=0,"",IF(VLOOKUP(HjArk!$D13,Tab1,50,FALSE)=0,"",VLOOKUP(HjArk!$D13,Tab1,50,FALSE)))</f>
      </c>
      <c r="AY45" s="217">
        <f>IF($A45=0,"",IF(VLOOKUP(HjArk!$D13,Tab1,51,FALSE)=0,"",VLOOKUP(HjArk!$D13,Tab1,51,FALSE)))</f>
      </c>
      <c r="AZ45" s="217">
        <f>IF($A45=0,"",IF(VLOOKUP(HjArk!$D13,Tab1,52,FALSE)=0,"",VLOOKUP(HjArk!$D13,Tab1,52,FALSE)))</f>
      </c>
      <c r="BA45" s="217">
        <f>IF($A45=0,"",IF(VLOOKUP(HjArk!$D13,Tab1,53,FALSE)=0,"",VLOOKUP(HjArk!$D13,Tab1,53,FALSE)))</f>
      </c>
      <c r="BB45" s="217">
        <f>IF($A45=0,"",IF(VLOOKUP(HjArk!$D13,Tab1,54,FALSE)=0,"",VLOOKUP(HjArk!$D13,Tab1,54,FALSE)))</f>
      </c>
      <c r="BC45" s="217">
        <f>IF($A45=0,"",IF(VLOOKUP(HjArk!$D13,Tab1,55,FALSE)=0,"",VLOOKUP(HjArk!$D13,Tab1,55,FALSE)))</f>
      </c>
      <c r="BD45" s="217">
        <f>IF($A45=0,"",IF(VLOOKUP(HjArk!$D13,Tab1,56,FALSE)=0,"",VLOOKUP(HjArk!$D13,Tab1,56,FALSE)))</f>
      </c>
      <c r="BE45" s="217">
        <f>IF($A45=0,"",IF(VLOOKUP(HjArk!$D13,Tab1,57,FALSE)=0,"",VLOOKUP(HjArk!$D13,Tab1,57,FALSE)))</f>
      </c>
      <c r="BF45" s="217">
        <f>IF($A45=0,"",IF(VLOOKUP(HjArk!$D13,Tab1,58,FALSE)=0,"",VLOOKUP(HjArk!$D13,Tab1,58,FALSE)))</f>
      </c>
      <c r="BG45" s="217">
        <f>IF($A45=0,"",IF(VLOOKUP(HjArk!$D13,Tab1,59,FALSE)=0,"",VLOOKUP(HjArk!$D13,Tab1,59,FALSE)))</f>
      </c>
      <c r="BH45" s="217">
        <f>IF($A45=0,"",IF(VLOOKUP(HjArk!$D13,Tab1,60,FALSE)=0,"",VLOOKUP(HjArk!$D13,Tab1,60,FALSE)))</f>
      </c>
      <c r="BI45" s="217">
        <f>IF($A45=0,"",IF(VLOOKUP(HjArk!$D13,Tab1,61,FALSE)=0,"",VLOOKUP(HjArk!$D13,Tab1,61,FALSE)))</f>
      </c>
      <c r="BJ45" s="217"/>
      <c r="BK45" s="217"/>
      <c r="BL45" s="218"/>
    </row>
    <row r="46" spans="1:64" ht="12.75">
      <c r="A46" s="132">
        <f>HjArk!B14</f>
        <v>0</v>
      </c>
      <c r="B46" s="216">
        <f>IF($A46=0,"",IF(VLOOKUP(HjArk!$D14,Tab1,2,FALSE)=0,"",VLOOKUP(HjArk!$D14,Tab1,2,FALSE)))</f>
      </c>
      <c r="C46" s="217">
        <f>IF($A46=0,"",IF(VLOOKUP(HjArk!$D14,Tab1,3,FALSE)=0,"",VLOOKUP(HjArk!$D14,Tab1,3,FALSE)))</f>
      </c>
      <c r="D46" s="217">
        <f>IF($A46=0,"",IF(VLOOKUP(HjArk!$D14,Tab1,4,FALSE)=0,"",VLOOKUP(HjArk!$D14,Tab1,4,FALSE)))</f>
      </c>
      <c r="E46" s="217">
        <f>IF($A46=0,"",IF(VLOOKUP(HjArk!$D14,Tab1,5,FALSE)=0,"",VLOOKUP(HjArk!$D14,Tab1,5,FALSE)))</f>
      </c>
      <c r="F46" s="217">
        <f>IF($A46=0,"",IF(VLOOKUP(HjArk!$D14,Tab1,6,FALSE)=0,"",VLOOKUP(HjArk!$D14,Tab1,6,FALSE)))</f>
      </c>
      <c r="G46" s="217">
        <f>IF($A46=0,"",IF(VLOOKUP(HjArk!$D14,Tab1,7,FALSE)=0,"",VLOOKUP(HjArk!$D14,Tab1,7,FALSE)))</f>
      </c>
      <c r="H46" s="217">
        <f>IF($A46=0,"",IF(VLOOKUP(HjArk!$D14,Tab1,8,FALSE)=0,"",VLOOKUP(HjArk!$D14,Tab1,8,FALSE)))</f>
      </c>
      <c r="I46" s="217">
        <f>IF($A46=0,"",IF(VLOOKUP(HjArk!$D14,Tab1,9,FALSE)=0,"",VLOOKUP(HjArk!$D14,Tab1,9,FALSE)))</f>
      </c>
      <c r="J46" s="217">
        <f>IF($A46=0,"",IF(VLOOKUP(HjArk!$D14,Tab1,10,FALSE)=0,"",VLOOKUP(HjArk!$D14,Tab1,10,FALSE)))</f>
      </c>
      <c r="K46" s="217">
        <f>IF($A46=0,"",IF(VLOOKUP(HjArk!$D14,Tab1,11,FALSE)=0,"",VLOOKUP(HjArk!$D14,Tab1,11,FALSE)))</f>
      </c>
      <c r="L46" s="217">
        <f>IF($A46=0,"",IF(VLOOKUP(HjArk!$D14,Tab1,12,FALSE)=0,"",VLOOKUP(HjArk!$D14,Tab1,12,FALSE)))</f>
      </c>
      <c r="M46" s="217">
        <f>IF($A46=0,"",IF(VLOOKUP(HjArk!$D14,Tab1,13,FALSE)=0,"",VLOOKUP(HjArk!$D14,Tab1,13,FALSE)))</f>
      </c>
      <c r="N46" s="217">
        <f>IF($A46=0,"",IF(VLOOKUP(HjArk!$D14,Tab1,14,FALSE)=0,"",VLOOKUP(HjArk!$D14,Tab1,14,FALSE)))</f>
      </c>
      <c r="O46" s="217">
        <f>IF($A46=0,"",IF(VLOOKUP(HjArk!$D14,Tab1,15,FALSE)=0,"",VLOOKUP(HjArk!$D14,Tab1,15,FALSE)))</f>
      </c>
      <c r="P46" s="217">
        <f>IF($A46=0,"",IF(VLOOKUP(HjArk!$D14,Tab1,16,FALSE)=0,"",VLOOKUP(HjArk!$D14,Tab1,16,FALSE)))</f>
      </c>
      <c r="Q46" s="217">
        <f>IF($A46=0,"",IF(VLOOKUP(HjArk!$D14,Tab1,17,FALSE)=0,"",VLOOKUP(HjArk!$D14,Tab1,17,FALSE)))</f>
      </c>
      <c r="R46" s="217">
        <f>IF($A46=0,"",IF(VLOOKUP(HjArk!$D14,Tab1,18,FALSE)=0,"",VLOOKUP(HjArk!$D14,Tab1,18,FALSE)))</f>
      </c>
      <c r="S46" s="217">
        <f>IF($A46=0,"",IF(VLOOKUP(HjArk!$D14,Tab1,19,FALSE)=0,"",VLOOKUP(HjArk!$D14,Tab1,19,FALSE)))</f>
      </c>
      <c r="T46" s="217">
        <f>IF($A46=0,"",IF(VLOOKUP(HjArk!$D14,Tab1,20,FALSE)=0,"",VLOOKUP(HjArk!$D14,Tab1,20,FALSE)))</f>
      </c>
      <c r="U46" s="217">
        <f>IF($A46=0,"",IF(VLOOKUP(HjArk!$D14,Tab1,21,FALSE)=0,"",VLOOKUP(HjArk!$D14,Tab1,21,FALSE)))</f>
      </c>
      <c r="V46" s="217">
        <f>IF($A46=0,"",IF(VLOOKUP(HjArk!$D14,Tab1,22,FALSE)=0,"",VLOOKUP(HjArk!$D14,Tab1,22,FALSE)))</f>
      </c>
      <c r="W46" s="217">
        <f>IF($A46=0,"",IF(VLOOKUP(HjArk!$D14,Tab1,23,FALSE)=0,"",VLOOKUP(HjArk!$D14,Tab1,23,FALSE)))</f>
      </c>
      <c r="X46" s="217">
        <f>IF($A46=0,"",IF(VLOOKUP(HjArk!$D14,Tab1,24,FALSE)=0,"",VLOOKUP(HjArk!$D14,Tab1,24,FALSE)))</f>
      </c>
      <c r="Y46" s="217">
        <f>IF($A46=0,"",IF(VLOOKUP(HjArk!$D14,Tab1,25,FALSE)=0,"",VLOOKUP(HjArk!$D14,Tab1,25,FALSE)))</f>
      </c>
      <c r="Z46" s="217">
        <f>IF($A46=0,"",IF(VLOOKUP(HjArk!$D14,Tab1,26,FALSE)=0,"",VLOOKUP(HjArk!$D14,Tab1,26,FALSE)))</f>
      </c>
      <c r="AA46" s="217">
        <f>IF($A46=0,"",IF(VLOOKUP(HjArk!$D14,Tab1,27,FALSE)=0,"",VLOOKUP(HjArk!$D14,Tab1,27,FALSE)))</f>
      </c>
      <c r="AB46" s="217">
        <f>IF($A46=0,"",IF(VLOOKUP(HjArk!$D14,Tab1,28,FALSE)=0,"",VLOOKUP(HjArk!$D14,Tab1,28,FALSE)))</f>
      </c>
      <c r="AC46" s="217">
        <f>IF($A46=0,"",IF(VLOOKUP(HjArk!$D14,Tab1,29,FALSE)=0,"",VLOOKUP(HjArk!$D14,Tab1,29,FALSE)))</f>
      </c>
      <c r="AD46" s="217">
        <f>IF($A46=0,"",IF(VLOOKUP(HjArk!$D14,Tab1,30,FALSE)=0,"",VLOOKUP(HjArk!$D14,Tab1,30,FALSE)))</f>
      </c>
      <c r="AE46" s="217">
        <f>IF($A46=0,"",IF(VLOOKUP(HjArk!$D14,Tab1,31,FALSE)=0,"",VLOOKUP(HjArk!$D14,Tab1,31,FALSE)))</f>
      </c>
      <c r="AF46" s="217">
        <f>IF($A46=0,"",IF(VLOOKUP(HjArk!$D14,Tab1,32,FALSE)=0,"",VLOOKUP(HjArk!$D14,Tab1,32,FALSE)))</f>
      </c>
      <c r="AG46" s="217">
        <f>IF($A46=0,"",IF(VLOOKUP(HjArk!$D14,Tab1,33,FALSE)=0,"",VLOOKUP(HjArk!$D14,Tab1,33,FALSE)))</f>
      </c>
      <c r="AH46" s="217">
        <f>IF($A46=0,"",IF(VLOOKUP(HjArk!$D14,Tab1,34,FALSE)=0,"",VLOOKUP(HjArk!$D14,Tab1,34,FALSE)))</f>
      </c>
      <c r="AI46" s="217">
        <f>IF($A46=0,"",IF(VLOOKUP(HjArk!$D14,Tab1,35,FALSE)=0,"",VLOOKUP(HjArk!$D14,Tab1,35,FALSE)))</f>
      </c>
      <c r="AJ46" s="217">
        <f>IF($A46=0,"",IF(VLOOKUP(HjArk!$D14,Tab1,36,FALSE)=0,"",VLOOKUP(HjArk!$D14,Tab1,36,FALSE)))</f>
      </c>
      <c r="AK46" s="217">
        <f>IF($A46=0,"",IF(VLOOKUP(HjArk!$D14,Tab1,37,FALSE)=0,"",VLOOKUP(HjArk!$D14,Tab1,37,FALSE)))</f>
      </c>
      <c r="AL46" s="217">
        <f>IF($A46=0,"",IF(VLOOKUP(HjArk!$D14,Tab1,38,FALSE)=0,"",VLOOKUP(HjArk!$D14,Tab1,38,FALSE)))</f>
      </c>
      <c r="AM46" s="217">
        <f>IF($A46=0,"",IF(VLOOKUP(HjArk!$D14,Tab1,39,FALSE)=0,"",VLOOKUP(HjArk!$D14,Tab1,39,FALSE)))</f>
      </c>
      <c r="AN46" s="217">
        <f>IF($A46=0,"",IF(VLOOKUP(HjArk!$D14,Tab1,40,FALSE)=0,"",VLOOKUP(HjArk!$D14,Tab1,40,FALSE)))</f>
      </c>
      <c r="AO46" s="217">
        <f>IF($A46=0,"",IF(VLOOKUP(HjArk!$D14,Tab1,41,FALSE)=0,"",VLOOKUP(HjArk!$D14,Tab1,41,FALSE)))</f>
      </c>
      <c r="AP46" s="217">
        <f>IF($A46=0,"",IF(VLOOKUP(HjArk!$D14,Tab1,42,FALSE)=0,"",VLOOKUP(HjArk!$D14,Tab1,42,FALSE)))</f>
      </c>
      <c r="AQ46" s="217">
        <f>IF($A46=0,"",IF(VLOOKUP(HjArk!$D14,Tab1,43,FALSE)=0,"",VLOOKUP(HjArk!$D14,Tab1,43,FALSE)))</f>
      </c>
      <c r="AR46" s="217">
        <f>IF($A46=0,"",IF(VLOOKUP(HjArk!$D14,Tab1,44,FALSE)=0,"",VLOOKUP(HjArk!$D14,Tab1,44,FALSE)))</f>
      </c>
      <c r="AS46" s="217">
        <f>IF($A46=0,"",IF(VLOOKUP(HjArk!$D14,Tab1,45,FALSE)=0,"",VLOOKUP(HjArk!$D14,Tab1,45,FALSE)))</f>
      </c>
      <c r="AT46" s="217">
        <f>IF($A46=0,"",IF(VLOOKUP(HjArk!$D14,Tab1,46,FALSE)=0,"",VLOOKUP(HjArk!$D14,Tab1,46,FALSE)))</f>
      </c>
      <c r="AU46" s="217">
        <f>IF($A46=0,"",IF(VLOOKUP(HjArk!$D14,Tab1,47,FALSE)=0,"",VLOOKUP(HjArk!$D14,Tab1,47,FALSE)))</f>
      </c>
      <c r="AV46" s="217">
        <f>IF($A46=0,"",IF(VLOOKUP(HjArk!$D14,Tab1,48,FALSE)=0,"",VLOOKUP(HjArk!$D14,Tab1,48,FALSE)))</f>
      </c>
      <c r="AW46" s="217">
        <f>IF($A46=0,"",IF(VLOOKUP(HjArk!$D14,Tab1,49,FALSE)=0,"",VLOOKUP(HjArk!$D14,Tab1,49,FALSE)))</f>
      </c>
      <c r="AX46" s="217">
        <f>IF($A46=0,"",IF(VLOOKUP(HjArk!$D14,Tab1,50,FALSE)=0,"",VLOOKUP(HjArk!$D14,Tab1,50,FALSE)))</f>
      </c>
      <c r="AY46" s="217">
        <f>IF($A46=0,"",IF(VLOOKUP(HjArk!$D14,Tab1,51,FALSE)=0,"",VLOOKUP(HjArk!$D14,Tab1,51,FALSE)))</f>
      </c>
      <c r="AZ46" s="217">
        <f>IF($A46=0,"",IF(VLOOKUP(HjArk!$D14,Tab1,52,FALSE)=0,"",VLOOKUP(HjArk!$D14,Tab1,52,FALSE)))</f>
      </c>
      <c r="BA46" s="217">
        <f>IF($A46=0,"",IF(VLOOKUP(HjArk!$D14,Tab1,53,FALSE)=0,"",VLOOKUP(HjArk!$D14,Tab1,53,FALSE)))</f>
      </c>
      <c r="BB46" s="217">
        <f>IF($A46=0,"",IF(VLOOKUP(HjArk!$D14,Tab1,54,FALSE)=0,"",VLOOKUP(HjArk!$D14,Tab1,54,FALSE)))</f>
      </c>
      <c r="BC46" s="217">
        <f>IF($A46=0,"",IF(VLOOKUP(HjArk!$D14,Tab1,55,FALSE)=0,"",VLOOKUP(HjArk!$D14,Tab1,55,FALSE)))</f>
      </c>
      <c r="BD46" s="217">
        <f>IF($A46=0,"",IF(VLOOKUP(HjArk!$D14,Tab1,56,FALSE)=0,"",VLOOKUP(HjArk!$D14,Tab1,56,FALSE)))</f>
      </c>
      <c r="BE46" s="217">
        <f>IF($A46=0,"",IF(VLOOKUP(HjArk!$D14,Tab1,57,FALSE)=0,"",VLOOKUP(HjArk!$D14,Tab1,57,FALSE)))</f>
      </c>
      <c r="BF46" s="217">
        <f>IF($A46=0,"",IF(VLOOKUP(HjArk!$D14,Tab1,58,FALSE)=0,"",VLOOKUP(HjArk!$D14,Tab1,58,FALSE)))</f>
      </c>
      <c r="BG46" s="217">
        <f>IF($A46=0,"",IF(VLOOKUP(HjArk!$D14,Tab1,59,FALSE)=0,"",VLOOKUP(HjArk!$D14,Tab1,59,FALSE)))</f>
      </c>
      <c r="BH46" s="217">
        <f>IF($A46=0,"",IF(VLOOKUP(HjArk!$D14,Tab1,60,FALSE)=0,"",VLOOKUP(HjArk!$D14,Tab1,60,FALSE)))</f>
      </c>
      <c r="BI46" s="217">
        <f>IF($A46=0,"",IF(VLOOKUP(HjArk!$D14,Tab1,61,FALSE)=0,"",VLOOKUP(HjArk!$D14,Tab1,61,FALSE)))</f>
      </c>
      <c r="BJ46" s="217"/>
      <c r="BK46" s="217"/>
      <c r="BL46" s="218"/>
    </row>
    <row r="47" spans="1:64" ht="12.75">
      <c r="A47" s="132">
        <f>HjArk!B15</f>
        <v>0</v>
      </c>
      <c r="B47" s="216">
        <f>IF($A47=0,"",IF(VLOOKUP(HjArk!$D15,Tab1,2,FALSE)=0,"",VLOOKUP(HjArk!$D15,Tab1,2,FALSE)))</f>
      </c>
      <c r="C47" s="217">
        <f>IF($A47=0,"",IF(VLOOKUP(HjArk!$D15,Tab1,3,FALSE)=0,"",VLOOKUP(HjArk!$D15,Tab1,3,FALSE)))</f>
      </c>
      <c r="D47" s="217">
        <f>IF($A47=0,"",IF(VLOOKUP(HjArk!$D15,Tab1,4,FALSE)=0,"",VLOOKUP(HjArk!$D15,Tab1,4,FALSE)))</f>
      </c>
      <c r="E47" s="217">
        <f>IF($A47=0,"",IF(VLOOKUP(HjArk!$D15,Tab1,5,FALSE)=0,"",VLOOKUP(HjArk!$D15,Tab1,5,FALSE)))</f>
      </c>
      <c r="F47" s="217">
        <f>IF($A47=0,"",IF(VLOOKUP(HjArk!$D15,Tab1,6,FALSE)=0,"",VLOOKUP(HjArk!$D15,Tab1,6,FALSE)))</f>
      </c>
      <c r="G47" s="217">
        <f>IF($A47=0,"",IF(VLOOKUP(HjArk!$D15,Tab1,7,FALSE)=0,"",VLOOKUP(HjArk!$D15,Tab1,7,FALSE)))</f>
      </c>
      <c r="H47" s="217">
        <f>IF($A47=0,"",IF(VLOOKUP(HjArk!$D15,Tab1,8,FALSE)=0,"",VLOOKUP(HjArk!$D15,Tab1,8,FALSE)))</f>
      </c>
      <c r="I47" s="217">
        <f>IF($A47=0,"",IF(VLOOKUP(HjArk!$D15,Tab1,9,FALSE)=0,"",VLOOKUP(HjArk!$D15,Tab1,9,FALSE)))</f>
      </c>
      <c r="J47" s="217">
        <f>IF($A47=0,"",IF(VLOOKUP(HjArk!$D15,Tab1,10,FALSE)=0,"",VLOOKUP(HjArk!$D15,Tab1,10,FALSE)))</f>
      </c>
      <c r="K47" s="217">
        <f>IF($A47=0,"",IF(VLOOKUP(HjArk!$D15,Tab1,11,FALSE)=0,"",VLOOKUP(HjArk!$D15,Tab1,11,FALSE)))</f>
      </c>
      <c r="L47" s="217">
        <f>IF($A47=0,"",IF(VLOOKUP(HjArk!$D15,Tab1,12,FALSE)=0,"",VLOOKUP(HjArk!$D15,Tab1,12,FALSE)))</f>
      </c>
      <c r="M47" s="217">
        <f>IF($A47=0,"",IF(VLOOKUP(HjArk!$D15,Tab1,13,FALSE)=0,"",VLOOKUP(HjArk!$D15,Tab1,13,FALSE)))</f>
      </c>
      <c r="N47" s="217">
        <f>IF($A47=0,"",IF(VLOOKUP(HjArk!$D15,Tab1,14,FALSE)=0,"",VLOOKUP(HjArk!$D15,Tab1,14,FALSE)))</f>
      </c>
      <c r="O47" s="217">
        <f>IF($A47=0,"",IF(VLOOKUP(HjArk!$D15,Tab1,15,FALSE)=0,"",VLOOKUP(HjArk!$D15,Tab1,15,FALSE)))</f>
      </c>
      <c r="P47" s="217">
        <f>IF($A47=0,"",IF(VLOOKUP(HjArk!$D15,Tab1,16,FALSE)=0,"",VLOOKUP(HjArk!$D15,Tab1,16,FALSE)))</f>
      </c>
      <c r="Q47" s="217">
        <f>IF($A47=0,"",IF(VLOOKUP(HjArk!$D15,Tab1,17,FALSE)=0,"",VLOOKUP(HjArk!$D15,Tab1,17,FALSE)))</f>
      </c>
      <c r="R47" s="217">
        <f>IF($A47=0,"",IF(VLOOKUP(HjArk!$D15,Tab1,18,FALSE)=0,"",VLOOKUP(HjArk!$D15,Tab1,18,FALSE)))</f>
      </c>
      <c r="S47" s="217">
        <f>IF($A47=0,"",IF(VLOOKUP(HjArk!$D15,Tab1,19,FALSE)=0,"",VLOOKUP(HjArk!$D15,Tab1,19,FALSE)))</f>
      </c>
      <c r="T47" s="217">
        <f>IF($A47=0,"",IF(VLOOKUP(HjArk!$D15,Tab1,20,FALSE)=0,"",VLOOKUP(HjArk!$D15,Tab1,20,FALSE)))</f>
      </c>
      <c r="U47" s="217">
        <f>IF($A47=0,"",IF(VLOOKUP(HjArk!$D15,Tab1,21,FALSE)=0,"",VLOOKUP(HjArk!$D15,Tab1,21,FALSE)))</f>
      </c>
      <c r="V47" s="217">
        <f>IF($A47=0,"",IF(VLOOKUP(HjArk!$D15,Tab1,22,FALSE)=0,"",VLOOKUP(HjArk!$D15,Tab1,22,FALSE)))</f>
      </c>
      <c r="W47" s="217">
        <f>IF($A47=0,"",IF(VLOOKUP(HjArk!$D15,Tab1,23,FALSE)=0,"",VLOOKUP(HjArk!$D15,Tab1,23,FALSE)))</f>
      </c>
      <c r="X47" s="217">
        <f>IF($A47=0,"",IF(VLOOKUP(HjArk!$D15,Tab1,24,FALSE)=0,"",VLOOKUP(HjArk!$D15,Tab1,24,FALSE)))</f>
      </c>
      <c r="Y47" s="217">
        <f>IF($A47=0,"",IF(VLOOKUP(HjArk!$D15,Tab1,25,FALSE)=0,"",VLOOKUP(HjArk!$D15,Tab1,25,FALSE)))</f>
      </c>
      <c r="Z47" s="217">
        <f>IF($A47=0,"",IF(VLOOKUP(HjArk!$D15,Tab1,26,FALSE)=0,"",VLOOKUP(HjArk!$D15,Tab1,26,FALSE)))</f>
      </c>
      <c r="AA47" s="217">
        <f>IF($A47=0,"",IF(VLOOKUP(HjArk!$D15,Tab1,27,FALSE)=0,"",VLOOKUP(HjArk!$D15,Tab1,27,FALSE)))</f>
      </c>
      <c r="AB47" s="217">
        <f>IF($A47=0,"",IF(VLOOKUP(HjArk!$D15,Tab1,28,FALSE)=0,"",VLOOKUP(HjArk!$D15,Tab1,28,FALSE)))</f>
      </c>
      <c r="AC47" s="217">
        <f>IF($A47=0,"",IF(VLOOKUP(HjArk!$D15,Tab1,29,FALSE)=0,"",VLOOKUP(HjArk!$D15,Tab1,29,FALSE)))</f>
      </c>
      <c r="AD47" s="217">
        <f>IF($A47=0,"",IF(VLOOKUP(HjArk!$D15,Tab1,30,FALSE)=0,"",VLOOKUP(HjArk!$D15,Tab1,30,FALSE)))</f>
      </c>
      <c r="AE47" s="217">
        <f>IF($A47=0,"",IF(VLOOKUP(HjArk!$D15,Tab1,31,FALSE)=0,"",VLOOKUP(HjArk!$D15,Tab1,31,FALSE)))</f>
      </c>
      <c r="AF47" s="217">
        <f>IF($A47=0,"",IF(VLOOKUP(HjArk!$D15,Tab1,32,FALSE)=0,"",VLOOKUP(HjArk!$D15,Tab1,32,FALSE)))</f>
      </c>
      <c r="AG47" s="217">
        <f>IF($A47=0,"",IF(VLOOKUP(HjArk!$D15,Tab1,33,FALSE)=0,"",VLOOKUP(HjArk!$D15,Tab1,33,FALSE)))</f>
      </c>
      <c r="AH47" s="217">
        <f>IF($A47=0,"",IF(VLOOKUP(HjArk!$D15,Tab1,34,FALSE)=0,"",VLOOKUP(HjArk!$D15,Tab1,34,FALSE)))</f>
      </c>
      <c r="AI47" s="217">
        <f>IF($A47=0,"",IF(VLOOKUP(HjArk!$D15,Tab1,35,FALSE)=0,"",VLOOKUP(HjArk!$D15,Tab1,35,FALSE)))</f>
      </c>
      <c r="AJ47" s="217">
        <f>IF($A47=0,"",IF(VLOOKUP(HjArk!$D15,Tab1,36,FALSE)=0,"",VLOOKUP(HjArk!$D15,Tab1,36,FALSE)))</f>
      </c>
      <c r="AK47" s="217">
        <f>IF($A47=0,"",IF(VLOOKUP(HjArk!$D15,Tab1,37,FALSE)=0,"",VLOOKUP(HjArk!$D15,Tab1,37,FALSE)))</f>
      </c>
      <c r="AL47" s="217">
        <f>IF($A47=0,"",IF(VLOOKUP(HjArk!$D15,Tab1,38,FALSE)=0,"",VLOOKUP(HjArk!$D15,Tab1,38,FALSE)))</f>
      </c>
      <c r="AM47" s="217">
        <f>IF($A47=0,"",IF(VLOOKUP(HjArk!$D15,Tab1,39,FALSE)=0,"",VLOOKUP(HjArk!$D15,Tab1,39,FALSE)))</f>
      </c>
      <c r="AN47" s="217">
        <f>IF($A47=0,"",IF(VLOOKUP(HjArk!$D15,Tab1,40,FALSE)=0,"",VLOOKUP(HjArk!$D15,Tab1,40,FALSE)))</f>
      </c>
      <c r="AO47" s="217">
        <f>IF($A47=0,"",IF(VLOOKUP(HjArk!$D15,Tab1,41,FALSE)=0,"",VLOOKUP(HjArk!$D15,Tab1,41,FALSE)))</f>
      </c>
      <c r="AP47" s="217">
        <f>IF($A47=0,"",IF(VLOOKUP(HjArk!$D15,Tab1,42,FALSE)=0,"",VLOOKUP(HjArk!$D15,Tab1,42,FALSE)))</f>
      </c>
      <c r="AQ47" s="217">
        <f>IF($A47=0,"",IF(VLOOKUP(HjArk!$D15,Tab1,43,FALSE)=0,"",VLOOKUP(HjArk!$D15,Tab1,43,FALSE)))</f>
      </c>
      <c r="AR47" s="217">
        <f>IF($A47=0,"",IF(VLOOKUP(HjArk!$D15,Tab1,44,FALSE)=0,"",VLOOKUP(HjArk!$D15,Tab1,44,FALSE)))</f>
      </c>
      <c r="AS47" s="217">
        <f>IF($A47=0,"",IF(VLOOKUP(HjArk!$D15,Tab1,45,FALSE)=0,"",VLOOKUP(HjArk!$D15,Tab1,45,FALSE)))</f>
      </c>
      <c r="AT47" s="217">
        <f>IF($A47=0,"",IF(VLOOKUP(HjArk!$D15,Tab1,46,FALSE)=0,"",VLOOKUP(HjArk!$D15,Tab1,46,FALSE)))</f>
      </c>
      <c r="AU47" s="217">
        <f>IF($A47=0,"",IF(VLOOKUP(HjArk!$D15,Tab1,47,FALSE)=0,"",VLOOKUP(HjArk!$D15,Tab1,47,FALSE)))</f>
      </c>
      <c r="AV47" s="217">
        <f>IF($A47=0,"",IF(VLOOKUP(HjArk!$D15,Tab1,48,FALSE)=0,"",VLOOKUP(HjArk!$D15,Tab1,48,FALSE)))</f>
      </c>
      <c r="AW47" s="217">
        <f>IF($A47=0,"",IF(VLOOKUP(HjArk!$D15,Tab1,49,FALSE)=0,"",VLOOKUP(HjArk!$D15,Tab1,49,FALSE)))</f>
      </c>
      <c r="AX47" s="217">
        <f>IF($A47=0,"",IF(VLOOKUP(HjArk!$D15,Tab1,50,FALSE)=0,"",VLOOKUP(HjArk!$D15,Tab1,50,FALSE)))</f>
      </c>
      <c r="AY47" s="217">
        <f>IF($A47=0,"",IF(VLOOKUP(HjArk!$D15,Tab1,51,FALSE)=0,"",VLOOKUP(HjArk!$D15,Tab1,51,FALSE)))</f>
      </c>
      <c r="AZ47" s="217">
        <f>IF($A47=0,"",IF(VLOOKUP(HjArk!$D15,Tab1,52,FALSE)=0,"",VLOOKUP(HjArk!$D15,Tab1,52,FALSE)))</f>
      </c>
      <c r="BA47" s="217">
        <f>IF($A47=0,"",IF(VLOOKUP(HjArk!$D15,Tab1,53,FALSE)=0,"",VLOOKUP(HjArk!$D15,Tab1,53,FALSE)))</f>
      </c>
      <c r="BB47" s="217">
        <f>IF($A47=0,"",IF(VLOOKUP(HjArk!$D15,Tab1,54,FALSE)=0,"",VLOOKUP(HjArk!$D15,Tab1,54,FALSE)))</f>
      </c>
      <c r="BC47" s="217">
        <f>IF($A47=0,"",IF(VLOOKUP(HjArk!$D15,Tab1,55,FALSE)=0,"",VLOOKUP(HjArk!$D15,Tab1,55,FALSE)))</f>
      </c>
      <c r="BD47" s="217">
        <f>IF($A47=0,"",IF(VLOOKUP(HjArk!$D15,Tab1,56,FALSE)=0,"",VLOOKUP(HjArk!$D15,Tab1,56,FALSE)))</f>
      </c>
      <c r="BE47" s="217">
        <f>IF($A47=0,"",IF(VLOOKUP(HjArk!$D15,Tab1,57,FALSE)=0,"",VLOOKUP(HjArk!$D15,Tab1,57,FALSE)))</f>
      </c>
      <c r="BF47" s="217">
        <f>IF($A47=0,"",IF(VLOOKUP(HjArk!$D15,Tab1,58,FALSE)=0,"",VLOOKUP(HjArk!$D15,Tab1,58,FALSE)))</f>
      </c>
      <c r="BG47" s="217">
        <f>IF($A47=0,"",IF(VLOOKUP(HjArk!$D15,Tab1,59,FALSE)=0,"",VLOOKUP(HjArk!$D15,Tab1,59,FALSE)))</f>
      </c>
      <c r="BH47" s="217">
        <f>IF($A47=0,"",IF(VLOOKUP(HjArk!$D15,Tab1,60,FALSE)=0,"",VLOOKUP(HjArk!$D15,Tab1,60,FALSE)))</f>
      </c>
      <c r="BI47" s="217">
        <f>IF($A47=0,"",IF(VLOOKUP(HjArk!$D15,Tab1,61,FALSE)=0,"",VLOOKUP(HjArk!$D15,Tab1,61,FALSE)))</f>
      </c>
      <c r="BJ47" s="217"/>
      <c r="BK47" s="217"/>
      <c r="BL47" s="218"/>
    </row>
    <row r="48" spans="1:64" ht="12.75">
      <c r="A48" s="132">
        <f>HjArk!B16</f>
        <v>0</v>
      </c>
      <c r="B48" s="216">
        <f>IF($A48=0,"",IF(VLOOKUP(HjArk!$D16,Tab1,2,FALSE)=0,"",VLOOKUP(HjArk!$D16,Tab1,2,FALSE)))</f>
      </c>
      <c r="C48" s="217">
        <f>IF($A48=0,"",IF(VLOOKUP(HjArk!$D16,Tab1,3,FALSE)=0,"",VLOOKUP(HjArk!$D16,Tab1,3,FALSE)))</f>
      </c>
      <c r="D48" s="217">
        <f>IF($A48=0,"",IF(VLOOKUP(HjArk!$D16,Tab1,4,FALSE)=0,"",VLOOKUP(HjArk!$D16,Tab1,4,FALSE)))</f>
      </c>
      <c r="E48" s="217">
        <f>IF($A48=0,"",IF(VLOOKUP(HjArk!$D16,Tab1,5,FALSE)=0,"",VLOOKUP(HjArk!$D16,Tab1,5,FALSE)))</f>
      </c>
      <c r="F48" s="217">
        <f>IF($A48=0,"",IF(VLOOKUP(HjArk!$D16,Tab1,6,FALSE)=0,"",VLOOKUP(HjArk!$D16,Tab1,6,FALSE)))</f>
      </c>
      <c r="G48" s="217">
        <f>IF($A48=0,"",IF(VLOOKUP(HjArk!$D16,Tab1,7,FALSE)=0,"",VLOOKUP(HjArk!$D16,Tab1,7,FALSE)))</f>
      </c>
      <c r="H48" s="217">
        <f>IF($A48=0,"",IF(VLOOKUP(HjArk!$D16,Tab1,8,FALSE)=0,"",VLOOKUP(HjArk!$D16,Tab1,8,FALSE)))</f>
      </c>
      <c r="I48" s="217">
        <f>IF($A48=0,"",IF(VLOOKUP(HjArk!$D16,Tab1,9,FALSE)=0,"",VLOOKUP(HjArk!$D16,Tab1,9,FALSE)))</f>
      </c>
      <c r="J48" s="217">
        <f>IF($A48=0,"",IF(VLOOKUP(HjArk!$D16,Tab1,10,FALSE)=0,"",VLOOKUP(HjArk!$D16,Tab1,10,FALSE)))</f>
      </c>
      <c r="K48" s="217">
        <f>IF($A48=0,"",IF(VLOOKUP(HjArk!$D16,Tab1,11,FALSE)=0,"",VLOOKUP(HjArk!$D16,Tab1,11,FALSE)))</f>
      </c>
      <c r="L48" s="217">
        <f>IF($A48=0,"",IF(VLOOKUP(HjArk!$D16,Tab1,12,FALSE)=0,"",VLOOKUP(HjArk!$D16,Tab1,12,FALSE)))</f>
      </c>
      <c r="M48" s="217">
        <f>IF($A48=0,"",IF(VLOOKUP(HjArk!$D16,Tab1,13,FALSE)=0,"",VLOOKUP(HjArk!$D16,Tab1,13,FALSE)))</f>
      </c>
      <c r="N48" s="217">
        <f>IF($A48=0,"",IF(VLOOKUP(HjArk!$D16,Tab1,14,FALSE)=0,"",VLOOKUP(HjArk!$D16,Tab1,14,FALSE)))</f>
      </c>
      <c r="O48" s="217">
        <f>IF($A48=0,"",IF(VLOOKUP(HjArk!$D16,Tab1,15,FALSE)=0,"",VLOOKUP(HjArk!$D16,Tab1,15,FALSE)))</f>
      </c>
      <c r="P48" s="217">
        <f>IF($A48=0,"",IF(VLOOKUP(HjArk!$D16,Tab1,16,FALSE)=0,"",VLOOKUP(HjArk!$D16,Tab1,16,FALSE)))</f>
      </c>
      <c r="Q48" s="217">
        <f>IF($A48=0,"",IF(VLOOKUP(HjArk!$D16,Tab1,17,FALSE)=0,"",VLOOKUP(HjArk!$D16,Tab1,17,FALSE)))</f>
      </c>
      <c r="R48" s="217">
        <f>IF($A48=0,"",IF(VLOOKUP(HjArk!$D16,Tab1,18,FALSE)=0,"",VLOOKUP(HjArk!$D16,Tab1,18,FALSE)))</f>
      </c>
      <c r="S48" s="217">
        <f>IF($A48=0,"",IF(VLOOKUP(HjArk!$D16,Tab1,19,FALSE)=0,"",VLOOKUP(HjArk!$D16,Tab1,19,FALSE)))</f>
      </c>
      <c r="T48" s="217">
        <f>IF($A48=0,"",IF(VLOOKUP(HjArk!$D16,Tab1,20,FALSE)=0,"",VLOOKUP(HjArk!$D16,Tab1,20,FALSE)))</f>
      </c>
      <c r="U48" s="217">
        <f>IF($A48=0,"",IF(VLOOKUP(HjArk!$D16,Tab1,21,FALSE)=0,"",VLOOKUP(HjArk!$D16,Tab1,21,FALSE)))</f>
      </c>
      <c r="V48" s="217">
        <f>IF($A48=0,"",IF(VLOOKUP(HjArk!$D16,Tab1,22,FALSE)=0,"",VLOOKUP(HjArk!$D16,Tab1,22,FALSE)))</f>
      </c>
      <c r="W48" s="217">
        <f>IF($A48=0,"",IF(VLOOKUP(HjArk!$D16,Tab1,23,FALSE)=0,"",VLOOKUP(HjArk!$D16,Tab1,23,FALSE)))</f>
      </c>
      <c r="X48" s="217">
        <f>IF($A48=0,"",IF(VLOOKUP(HjArk!$D16,Tab1,24,FALSE)=0,"",VLOOKUP(HjArk!$D16,Tab1,24,FALSE)))</f>
      </c>
      <c r="Y48" s="217">
        <f>IF($A48=0,"",IF(VLOOKUP(HjArk!$D16,Tab1,25,FALSE)=0,"",VLOOKUP(HjArk!$D16,Tab1,25,FALSE)))</f>
      </c>
      <c r="Z48" s="217">
        <f>IF($A48=0,"",IF(VLOOKUP(HjArk!$D16,Tab1,26,FALSE)=0,"",VLOOKUP(HjArk!$D16,Tab1,26,FALSE)))</f>
      </c>
      <c r="AA48" s="217">
        <f>IF($A48=0,"",IF(VLOOKUP(HjArk!$D16,Tab1,27,FALSE)=0,"",VLOOKUP(HjArk!$D16,Tab1,27,FALSE)))</f>
      </c>
      <c r="AB48" s="217">
        <f>IF($A48=0,"",IF(VLOOKUP(HjArk!$D16,Tab1,28,FALSE)=0,"",VLOOKUP(HjArk!$D16,Tab1,28,FALSE)))</f>
      </c>
      <c r="AC48" s="217">
        <f>IF($A48=0,"",IF(VLOOKUP(HjArk!$D16,Tab1,29,FALSE)=0,"",VLOOKUP(HjArk!$D16,Tab1,29,FALSE)))</f>
      </c>
      <c r="AD48" s="217">
        <f>IF($A48=0,"",IF(VLOOKUP(HjArk!$D16,Tab1,30,FALSE)=0,"",VLOOKUP(HjArk!$D16,Tab1,30,FALSE)))</f>
      </c>
      <c r="AE48" s="217">
        <f>IF($A48=0,"",IF(VLOOKUP(HjArk!$D16,Tab1,31,FALSE)=0,"",VLOOKUP(HjArk!$D16,Tab1,31,FALSE)))</f>
      </c>
      <c r="AF48" s="217">
        <f>IF($A48=0,"",IF(VLOOKUP(HjArk!$D16,Tab1,32,FALSE)=0,"",VLOOKUP(HjArk!$D16,Tab1,32,FALSE)))</f>
      </c>
      <c r="AG48" s="217">
        <f>IF($A48=0,"",IF(VLOOKUP(HjArk!$D16,Tab1,33,FALSE)=0,"",VLOOKUP(HjArk!$D16,Tab1,33,FALSE)))</f>
      </c>
      <c r="AH48" s="217">
        <f>IF($A48=0,"",IF(VLOOKUP(HjArk!$D16,Tab1,34,FALSE)=0,"",VLOOKUP(HjArk!$D16,Tab1,34,FALSE)))</f>
      </c>
      <c r="AI48" s="217">
        <f>IF($A48=0,"",IF(VLOOKUP(HjArk!$D16,Tab1,35,FALSE)=0,"",VLOOKUP(HjArk!$D16,Tab1,35,FALSE)))</f>
      </c>
      <c r="AJ48" s="217">
        <f>IF($A48=0,"",IF(VLOOKUP(HjArk!$D16,Tab1,36,FALSE)=0,"",VLOOKUP(HjArk!$D16,Tab1,36,FALSE)))</f>
      </c>
      <c r="AK48" s="217">
        <f>IF($A48=0,"",IF(VLOOKUP(HjArk!$D16,Tab1,37,FALSE)=0,"",VLOOKUP(HjArk!$D16,Tab1,37,FALSE)))</f>
      </c>
      <c r="AL48" s="217">
        <f>IF($A48=0,"",IF(VLOOKUP(HjArk!$D16,Tab1,38,FALSE)=0,"",VLOOKUP(HjArk!$D16,Tab1,38,FALSE)))</f>
      </c>
      <c r="AM48" s="217">
        <f>IF($A48=0,"",IF(VLOOKUP(HjArk!$D16,Tab1,39,FALSE)=0,"",VLOOKUP(HjArk!$D16,Tab1,39,FALSE)))</f>
      </c>
      <c r="AN48" s="217">
        <f>IF($A48=0,"",IF(VLOOKUP(HjArk!$D16,Tab1,40,FALSE)=0,"",VLOOKUP(HjArk!$D16,Tab1,40,FALSE)))</f>
      </c>
      <c r="AO48" s="217">
        <f>IF($A48=0,"",IF(VLOOKUP(HjArk!$D16,Tab1,41,FALSE)=0,"",VLOOKUP(HjArk!$D16,Tab1,41,FALSE)))</f>
      </c>
      <c r="AP48" s="217">
        <f>IF($A48=0,"",IF(VLOOKUP(HjArk!$D16,Tab1,42,FALSE)=0,"",VLOOKUP(HjArk!$D16,Tab1,42,FALSE)))</f>
      </c>
      <c r="AQ48" s="217">
        <f>IF($A48=0,"",IF(VLOOKUP(HjArk!$D16,Tab1,43,FALSE)=0,"",VLOOKUP(HjArk!$D16,Tab1,43,FALSE)))</f>
      </c>
      <c r="AR48" s="217">
        <f>IF($A48=0,"",IF(VLOOKUP(HjArk!$D16,Tab1,44,FALSE)=0,"",VLOOKUP(HjArk!$D16,Tab1,44,FALSE)))</f>
      </c>
      <c r="AS48" s="217">
        <f>IF($A48=0,"",IF(VLOOKUP(HjArk!$D16,Tab1,45,FALSE)=0,"",VLOOKUP(HjArk!$D16,Tab1,45,FALSE)))</f>
      </c>
      <c r="AT48" s="217">
        <f>IF($A48=0,"",IF(VLOOKUP(HjArk!$D16,Tab1,46,FALSE)=0,"",VLOOKUP(HjArk!$D16,Tab1,46,FALSE)))</f>
      </c>
      <c r="AU48" s="217">
        <f>IF($A48=0,"",IF(VLOOKUP(HjArk!$D16,Tab1,47,FALSE)=0,"",VLOOKUP(HjArk!$D16,Tab1,47,FALSE)))</f>
      </c>
      <c r="AV48" s="217">
        <f>IF($A48=0,"",IF(VLOOKUP(HjArk!$D16,Tab1,48,FALSE)=0,"",VLOOKUP(HjArk!$D16,Tab1,48,FALSE)))</f>
      </c>
      <c r="AW48" s="217">
        <f>IF($A48=0,"",IF(VLOOKUP(HjArk!$D16,Tab1,49,FALSE)=0,"",VLOOKUP(HjArk!$D16,Tab1,49,FALSE)))</f>
      </c>
      <c r="AX48" s="217">
        <f>IF($A48=0,"",IF(VLOOKUP(HjArk!$D16,Tab1,50,FALSE)=0,"",VLOOKUP(HjArk!$D16,Tab1,50,FALSE)))</f>
      </c>
      <c r="AY48" s="217">
        <f>IF($A48=0,"",IF(VLOOKUP(HjArk!$D16,Tab1,51,FALSE)=0,"",VLOOKUP(HjArk!$D16,Tab1,51,FALSE)))</f>
      </c>
      <c r="AZ48" s="217">
        <f>IF($A48=0,"",IF(VLOOKUP(HjArk!$D16,Tab1,52,FALSE)=0,"",VLOOKUP(HjArk!$D16,Tab1,52,FALSE)))</f>
      </c>
      <c r="BA48" s="217">
        <f>IF($A48=0,"",IF(VLOOKUP(HjArk!$D16,Tab1,53,FALSE)=0,"",VLOOKUP(HjArk!$D16,Tab1,53,FALSE)))</f>
      </c>
      <c r="BB48" s="217">
        <f>IF($A48=0,"",IF(VLOOKUP(HjArk!$D16,Tab1,54,FALSE)=0,"",VLOOKUP(HjArk!$D16,Tab1,54,FALSE)))</f>
      </c>
      <c r="BC48" s="217">
        <f>IF($A48=0,"",IF(VLOOKUP(HjArk!$D16,Tab1,55,FALSE)=0,"",VLOOKUP(HjArk!$D16,Tab1,55,FALSE)))</f>
      </c>
      <c r="BD48" s="217">
        <f>IF($A48=0,"",IF(VLOOKUP(HjArk!$D16,Tab1,56,FALSE)=0,"",VLOOKUP(HjArk!$D16,Tab1,56,FALSE)))</f>
      </c>
      <c r="BE48" s="217">
        <f>IF($A48=0,"",IF(VLOOKUP(HjArk!$D16,Tab1,57,FALSE)=0,"",VLOOKUP(HjArk!$D16,Tab1,57,FALSE)))</f>
      </c>
      <c r="BF48" s="217">
        <f>IF($A48=0,"",IF(VLOOKUP(HjArk!$D16,Tab1,58,FALSE)=0,"",VLOOKUP(HjArk!$D16,Tab1,58,FALSE)))</f>
      </c>
      <c r="BG48" s="217">
        <f>IF($A48=0,"",IF(VLOOKUP(HjArk!$D16,Tab1,59,FALSE)=0,"",VLOOKUP(HjArk!$D16,Tab1,59,FALSE)))</f>
      </c>
      <c r="BH48" s="217">
        <f>IF($A48=0,"",IF(VLOOKUP(HjArk!$D16,Tab1,60,FALSE)=0,"",VLOOKUP(HjArk!$D16,Tab1,60,FALSE)))</f>
      </c>
      <c r="BI48" s="217">
        <f>IF($A48=0,"",IF(VLOOKUP(HjArk!$D16,Tab1,61,FALSE)=0,"",VLOOKUP(HjArk!$D16,Tab1,61,FALSE)))</f>
      </c>
      <c r="BJ48" s="217"/>
      <c r="BK48" s="217"/>
      <c r="BL48" s="218"/>
    </row>
    <row r="49" spans="1:64" ht="12.75">
      <c r="A49" s="132">
        <f>HjArk!B17</f>
        <v>0</v>
      </c>
      <c r="B49" s="216">
        <f>IF($A49=0,"",IF(VLOOKUP(HjArk!$D17,Tab1,2,FALSE)=0,"",VLOOKUP(HjArk!$D17,Tab1,2,FALSE)))</f>
      </c>
      <c r="C49" s="217">
        <f>IF($A49=0,"",IF(VLOOKUP(HjArk!$D17,Tab1,3,FALSE)=0,"",VLOOKUP(HjArk!$D17,Tab1,3,FALSE)))</f>
      </c>
      <c r="D49" s="217">
        <f>IF($A49=0,"",IF(VLOOKUP(HjArk!$D17,Tab1,4,FALSE)=0,"",VLOOKUP(HjArk!$D17,Tab1,4,FALSE)))</f>
      </c>
      <c r="E49" s="217">
        <f>IF($A49=0,"",IF(VLOOKUP(HjArk!$D17,Tab1,5,FALSE)=0,"",VLOOKUP(HjArk!$D17,Tab1,5,FALSE)))</f>
      </c>
      <c r="F49" s="217">
        <f>IF($A49=0,"",IF(VLOOKUP(HjArk!$D17,Tab1,6,FALSE)=0,"",VLOOKUP(HjArk!$D17,Tab1,6,FALSE)))</f>
      </c>
      <c r="G49" s="217">
        <f>IF($A49=0,"",IF(VLOOKUP(HjArk!$D17,Tab1,7,FALSE)=0,"",VLOOKUP(HjArk!$D17,Tab1,7,FALSE)))</f>
      </c>
      <c r="H49" s="217">
        <f>IF($A49=0,"",IF(VLOOKUP(HjArk!$D17,Tab1,8,FALSE)=0,"",VLOOKUP(HjArk!$D17,Tab1,8,FALSE)))</f>
      </c>
      <c r="I49" s="217">
        <f>IF($A49=0,"",IF(VLOOKUP(HjArk!$D17,Tab1,9,FALSE)=0,"",VLOOKUP(HjArk!$D17,Tab1,9,FALSE)))</f>
      </c>
      <c r="J49" s="217">
        <f>IF($A49=0,"",IF(VLOOKUP(HjArk!$D17,Tab1,10,FALSE)=0,"",VLOOKUP(HjArk!$D17,Tab1,10,FALSE)))</f>
      </c>
      <c r="K49" s="217">
        <f>IF($A49=0,"",IF(VLOOKUP(HjArk!$D17,Tab1,11,FALSE)=0,"",VLOOKUP(HjArk!$D17,Tab1,11,FALSE)))</f>
      </c>
      <c r="L49" s="217">
        <f>IF($A49=0,"",IF(VLOOKUP(HjArk!$D17,Tab1,12,FALSE)=0,"",VLOOKUP(HjArk!$D17,Tab1,12,FALSE)))</f>
      </c>
      <c r="M49" s="217">
        <f>IF($A49=0,"",IF(VLOOKUP(HjArk!$D17,Tab1,13,FALSE)=0,"",VLOOKUP(HjArk!$D17,Tab1,13,FALSE)))</f>
      </c>
      <c r="N49" s="217">
        <f>IF($A49=0,"",IF(VLOOKUP(HjArk!$D17,Tab1,14,FALSE)=0,"",VLOOKUP(HjArk!$D17,Tab1,14,FALSE)))</f>
      </c>
      <c r="O49" s="217">
        <f>IF($A49=0,"",IF(VLOOKUP(HjArk!$D17,Tab1,15,FALSE)=0,"",VLOOKUP(HjArk!$D17,Tab1,15,FALSE)))</f>
      </c>
      <c r="P49" s="217">
        <f>IF($A49=0,"",IF(VLOOKUP(HjArk!$D17,Tab1,16,FALSE)=0,"",VLOOKUP(HjArk!$D17,Tab1,16,FALSE)))</f>
      </c>
      <c r="Q49" s="217">
        <f>IF($A49=0,"",IF(VLOOKUP(HjArk!$D17,Tab1,17,FALSE)=0,"",VLOOKUP(HjArk!$D17,Tab1,17,FALSE)))</f>
      </c>
      <c r="R49" s="217">
        <f>IF($A49=0,"",IF(VLOOKUP(HjArk!$D17,Tab1,18,FALSE)=0,"",VLOOKUP(HjArk!$D17,Tab1,18,FALSE)))</f>
      </c>
      <c r="S49" s="217">
        <f>IF($A49=0,"",IF(VLOOKUP(HjArk!$D17,Tab1,19,FALSE)=0,"",VLOOKUP(HjArk!$D17,Tab1,19,FALSE)))</f>
      </c>
      <c r="T49" s="217">
        <f>IF($A49=0,"",IF(VLOOKUP(HjArk!$D17,Tab1,20,FALSE)=0,"",VLOOKUP(HjArk!$D17,Tab1,20,FALSE)))</f>
      </c>
      <c r="U49" s="217">
        <f>IF($A49=0,"",IF(VLOOKUP(HjArk!$D17,Tab1,21,FALSE)=0,"",VLOOKUP(HjArk!$D17,Tab1,21,FALSE)))</f>
      </c>
      <c r="V49" s="217">
        <f>IF($A49=0,"",IF(VLOOKUP(HjArk!$D17,Tab1,22,FALSE)=0,"",VLOOKUP(HjArk!$D17,Tab1,22,FALSE)))</f>
      </c>
      <c r="W49" s="217">
        <f>IF($A49=0,"",IF(VLOOKUP(HjArk!$D17,Tab1,23,FALSE)=0,"",VLOOKUP(HjArk!$D17,Tab1,23,FALSE)))</f>
      </c>
      <c r="X49" s="217">
        <f>IF($A49=0,"",IF(VLOOKUP(HjArk!$D17,Tab1,24,FALSE)=0,"",VLOOKUP(HjArk!$D17,Tab1,24,FALSE)))</f>
      </c>
      <c r="Y49" s="217">
        <f>IF($A49=0,"",IF(VLOOKUP(HjArk!$D17,Tab1,25,FALSE)=0,"",VLOOKUP(HjArk!$D17,Tab1,25,FALSE)))</f>
      </c>
      <c r="Z49" s="217">
        <f>IF($A49=0,"",IF(VLOOKUP(HjArk!$D17,Tab1,26,FALSE)=0,"",VLOOKUP(HjArk!$D17,Tab1,26,FALSE)))</f>
      </c>
      <c r="AA49" s="217">
        <f>IF($A49=0,"",IF(VLOOKUP(HjArk!$D17,Tab1,27,FALSE)=0,"",VLOOKUP(HjArk!$D17,Tab1,27,FALSE)))</f>
      </c>
      <c r="AB49" s="217">
        <f>IF($A49=0,"",IF(VLOOKUP(HjArk!$D17,Tab1,28,FALSE)=0,"",VLOOKUP(HjArk!$D17,Tab1,28,FALSE)))</f>
      </c>
      <c r="AC49" s="217">
        <f>IF($A49=0,"",IF(VLOOKUP(HjArk!$D17,Tab1,29,FALSE)=0,"",VLOOKUP(HjArk!$D17,Tab1,29,FALSE)))</f>
      </c>
      <c r="AD49" s="217">
        <f>IF($A49=0,"",IF(VLOOKUP(HjArk!$D17,Tab1,30,FALSE)=0,"",VLOOKUP(HjArk!$D17,Tab1,30,FALSE)))</f>
      </c>
      <c r="AE49" s="217">
        <f>IF($A49=0,"",IF(VLOOKUP(HjArk!$D17,Tab1,31,FALSE)=0,"",VLOOKUP(HjArk!$D17,Tab1,31,FALSE)))</f>
      </c>
      <c r="AF49" s="217">
        <f>IF($A49=0,"",IF(VLOOKUP(HjArk!$D17,Tab1,32,FALSE)=0,"",VLOOKUP(HjArk!$D17,Tab1,32,FALSE)))</f>
      </c>
      <c r="AG49" s="217">
        <f>IF($A49=0,"",IF(VLOOKUP(HjArk!$D17,Tab1,33,FALSE)=0,"",VLOOKUP(HjArk!$D17,Tab1,33,FALSE)))</f>
      </c>
      <c r="AH49" s="217">
        <f>IF($A49=0,"",IF(VLOOKUP(HjArk!$D17,Tab1,34,FALSE)=0,"",VLOOKUP(HjArk!$D17,Tab1,34,FALSE)))</f>
      </c>
      <c r="AI49" s="217">
        <f>IF($A49=0,"",IF(VLOOKUP(HjArk!$D17,Tab1,35,FALSE)=0,"",VLOOKUP(HjArk!$D17,Tab1,35,FALSE)))</f>
      </c>
      <c r="AJ49" s="217">
        <f>IF($A49=0,"",IF(VLOOKUP(HjArk!$D17,Tab1,36,FALSE)=0,"",VLOOKUP(HjArk!$D17,Tab1,36,FALSE)))</f>
      </c>
      <c r="AK49" s="217">
        <f>IF($A49=0,"",IF(VLOOKUP(HjArk!$D17,Tab1,37,FALSE)=0,"",VLOOKUP(HjArk!$D17,Tab1,37,FALSE)))</f>
      </c>
      <c r="AL49" s="217">
        <f>IF($A49=0,"",IF(VLOOKUP(HjArk!$D17,Tab1,38,FALSE)=0,"",VLOOKUP(HjArk!$D17,Tab1,38,FALSE)))</f>
      </c>
      <c r="AM49" s="217">
        <f>IF($A49=0,"",IF(VLOOKUP(HjArk!$D17,Tab1,39,FALSE)=0,"",VLOOKUP(HjArk!$D17,Tab1,39,FALSE)))</f>
      </c>
      <c r="AN49" s="217">
        <f>IF($A49=0,"",IF(VLOOKUP(HjArk!$D17,Tab1,40,FALSE)=0,"",VLOOKUP(HjArk!$D17,Tab1,40,FALSE)))</f>
      </c>
      <c r="AO49" s="217">
        <f>IF($A49=0,"",IF(VLOOKUP(HjArk!$D17,Tab1,41,FALSE)=0,"",VLOOKUP(HjArk!$D17,Tab1,41,FALSE)))</f>
      </c>
      <c r="AP49" s="217">
        <f>IF($A49=0,"",IF(VLOOKUP(HjArk!$D17,Tab1,42,FALSE)=0,"",VLOOKUP(HjArk!$D17,Tab1,42,FALSE)))</f>
      </c>
      <c r="AQ49" s="217">
        <f>IF($A49=0,"",IF(VLOOKUP(HjArk!$D17,Tab1,43,FALSE)=0,"",VLOOKUP(HjArk!$D17,Tab1,43,FALSE)))</f>
      </c>
      <c r="AR49" s="217">
        <f>IF($A49=0,"",IF(VLOOKUP(HjArk!$D17,Tab1,44,FALSE)=0,"",VLOOKUP(HjArk!$D17,Tab1,44,FALSE)))</f>
      </c>
      <c r="AS49" s="217">
        <f>IF($A49=0,"",IF(VLOOKUP(HjArk!$D17,Tab1,45,FALSE)=0,"",VLOOKUP(HjArk!$D17,Tab1,45,FALSE)))</f>
      </c>
      <c r="AT49" s="217">
        <f>IF($A49=0,"",IF(VLOOKUP(HjArk!$D17,Tab1,46,FALSE)=0,"",VLOOKUP(HjArk!$D17,Tab1,46,FALSE)))</f>
      </c>
      <c r="AU49" s="217">
        <f>IF($A49=0,"",IF(VLOOKUP(HjArk!$D17,Tab1,47,FALSE)=0,"",VLOOKUP(HjArk!$D17,Tab1,47,FALSE)))</f>
      </c>
      <c r="AV49" s="217">
        <f>IF($A49=0,"",IF(VLOOKUP(HjArk!$D17,Tab1,48,FALSE)=0,"",VLOOKUP(HjArk!$D17,Tab1,48,FALSE)))</f>
      </c>
      <c r="AW49" s="217">
        <f>IF($A49=0,"",IF(VLOOKUP(HjArk!$D17,Tab1,49,FALSE)=0,"",VLOOKUP(HjArk!$D17,Tab1,49,FALSE)))</f>
      </c>
      <c r="AX49" s="217">
        <f>IF($A49=0,"",IF(VLOOKUP(HjArk!$D17,Tab1,50,FALSE)=0,"",VLOOKUP(HjArk!$D17,Tab1,50,FALSE)))</f>
      </c>
      <c r="AY49" s="217">
        <f>IF($A49=0,"",IF(VLOOKUP(HjArk!$D17,Tab1,51,FALSE)=0,"",VLOOKUP(HjArk!$D17,Tab1,51,FALSE)))</f>
      </c>
      <c r="AZ49" s="217">
        <f>IF($A49=0,"",IF(VLOOKUP(HjArk!$D17,Tab1,52,FALSE)=0,"",VLOOKUP(HjArk!$D17,Tab1,52,FALSE)))</f>
      </c>
      <c r="BA49" s="217">
        <f>IF($A49=0,"",IF(VLOOKUP(HjArk!$D17,Tab1,53,FALSE)=0,"",VLOOKUP(HjArk!$D17,Tab1,53,FALSE)))</f>
      </c>
      <c r="BB49" s="217">
        <f>IF($A49=0,"",IF(VLOOKUP(HjArk!$D17,Tab1,54,FALSE)=0,"",VLOOKUP(HjArk!$D17,Tab1,54,FALSE)))</f>
      </c>
      <c r="BC49" s="217">
        <f>IF($A49=0,"",IF(VLOOKUP(HjArk!$D17,Tab1,55,FALSE)=0,"",VLOOKUP(HjArk!$D17,Tab1,55,FALSE)))</f>
      </c>
      <c r="BD49" s="217">
        <f>IF($A49=0,"",IF(VLOOKUP(HjArk!$D17,Tab1,56,FALSE)=0,"",VLOOKUP(HjArk!$D17,Tab1,56,FALSE)))</f>
      </c>
      <c r="BE49" s="217">
        <f>IF($A49=0,"",IF(VLOOKUP(HjArk!$D17,Tab1,57,FALSE)=0,"",VLOOKUP(HjArk!$D17,Tab1,57,FALSE)))</f>
      </c>
      <c r="BF49" s="217">
        <f>IF($A49=0,"",IF(VLOOKUP(HjArk!$D17,Tab1,58,FALSE)=0,"",VLOOKUP(HjArk!$D17,Tab1,58,FALSE)))</f>
      </c>
      <c r="BG49" s="217">
        <f>IF($A49=0,"",IF(VLOOKUP(HjArk!$D17,Tab1,59,FALSE)=0,"",VLOOKUP(HjArk!$D17,Tab1,59,FALSE)))</f>
      </c>
      <c r="BH49" s="217">
        <f>IF($A49=0,"",IF(VLOOKUP(HjArk!$D17,Tab1,60,FALSE)=0,"",VLOOKUP(HjArk!$D17,Tab1,60,FALSE)))</f>
      </c>
      <c r="BI49" s="217">
        <f>IF($A49=0,"",IF(VLOOKUP(HjArk!$D17,Tab1,61,FALSE)=0,"",VLOOKUP(HjArk!$D17,Tab1,61,FALSE)))</f>
      </c>
      <c r="BJ49" s="217"/>
      <c r="BK49" s="217"/>
      <c r="BL49" s="218"/>
    </row>
    <row r="50" spans="1:64" ht="12.75">
      <c r="A50" s="132">
        <f>HjArk!B18</f>
        <v>0</v>
      </c>
      <c r="B50" s="216">
        <f>IF($A50=0,"",IF(VLOOKUP(HjArk!$D18,Tab1,2,FALSE)=0,"",VLOOKUP(HjArk!$D18,Tab1,2,FALSE)))</f>
      </c>
      <c r="C50" s="217">
        <f>IF($A50=0,"",IF(VLOOKUP(HjArk!$D18,Tab1,3,FALSE)=0,"",VLOOKUP(HjArk!$D18,Tab1,3,FALSE)))</f>
      </c>
      <c r="D50" s="217">
        <f>IF($A50=0,"",IF(VLOOKUP(HjArk!$D18,Tab1,4,FALSE)=0,"",VLOOKUP(HjArk!$D18,Tab1,4,FALSE)))</f>
      </c>
      <c r="E50" s="217">
        <f>IF($A50=0,"",IF(VLOOKUP(HjArk!$D18,Tab1,5,FALSE)=0,"",VLOOKUP(HjArk!$D18,Tab1,5,FALSE)))</f>
      </c>
      <c r="F50" s="217">
        <f>IF($A50=0,"",IF(VLOOKUP(HjArk!$D18,Tab1,6,FALSE)=0,"",VLOOKUP(HjArk!$D18,Tab1,6,FALSE)))</f>
      </c>
      <c r="G50" s="217">
        <f>IF($A50=0,"",IF(VLOOKUP(HjArk!$D18,Tab1,7,FALSE)=0,"",VLOOKUP(HjArk!$D18,Tab1,7,FALSE)))</f>
      </c>
      <c r="H50" s="217">
        <f>IF($A50=0,"",IF(VLOOKUP(HjArk!$D18,Tab1,8,FALSE)=0,"",VLOOKUP(HjArk!$D18,Tab1,8,FALSE)))</f>
      </c>
      <c r="I50" s="217">
        <f>IF($A50=0,"",IF(VLOOKUP(HjArk!$D18,Tab1,9,FALSE)=0,"",VLOOKUP(HjArk!$D18,Tab1,9,FALSE)))</f>
      </c>
      <c r="J50" s="217">
        <f>IF($A50=0,"",IF(VLOOKUP(HjArk!$D18,Tab1,10,FALSE)=0,"",VLOOKUP(HjArk!$D18,Tab1,10,FALSE)))</f>
      </c>
      <c r="K50" s="217">
        <f>IF($A50=0,"",IF(VLOOKUP(HjArk!$D18,Tab1,11,FALSE)=0,"",VLOOKUP(HjArk!$D18,Tab1,11,FALSE)))</f>
      </c>
      <c r="L50" s="217">
        <f>IF($A50=0,"",IF(VLOOKUP(HjArk!$D18,Tab1,12,FALSE)=0,"",VLOOKUP(HjArk!$D18,Tab1,12,FALSE)))</f>
      </c>
      <c r="M50" s="217">
        <f>IF($A50=0,"",IF(VLOOKUP(HjArk!$D18,Tab1,13,FALSE)=0,"",VLOOKUP(HjArk!$D18,Tab1,13,FALSE)))</f>
      </c>
      <c r="N50" s="217">
        <f>IF($A50=0,"",IF(VLOOKUP(HjArk!$D18,Tab1,14,FALSE)=0,"",VLOOKUP(HjArk!$D18,Tab1,14,FALSE)))</f>
      </c>
      <c r="O50" s="217">
        <f>IF($A50=0,"",IF(VLOOKUP(HjArk!$D18,Tab1,15,FALSE)=0,"",VLOOKUP(HjArk!$D18,Tab1,15,FALSE)))</f>
      </c>
      <c r="P50" s="217">
        <f>IF($A50=0,"",IF(VLOOKUP(HjArk!$D18,Tab1,16,FALSE)=0,"",VLOOKUP(HjArk!$D18,Tab1,16,FALSE)))</f>
      </c>
      <c r="Q50" s="217">
        <f>IF($A50=0,"",IF(VLOOKUP(HjArk!$D18,Tab1,17,FALSE)=0,"",VLOOKUP(HjArk!$D18,Tab1,17,FALSE)))</f>
      </c>
      <c r="R50" s="217">
        <f>IF($A50=0,"",IF(VLOOKUP(HjArk!$D18,Tab1,18,FALSE)=0,"",VLOOKUP(HjArk!$D18,Tab1,18,FALSE)))</f>
      </c>
      <c r="S50" s="217">
        <f>IF($A50=0,"",IF(VLOOKUP(HjArk!$D18,Tab1,19,FALSE)=0,"",VLOOKUP(HjArk!$D18,Tab1,19,FALSE)))</f>
      </c>
      <c r="T50" s="217">
        <f>IF($A50=0,"",IF(VLOOKUP(HjArk!$D18,Tab1,20,FALSE)=0,"",VLOOKUP(HjArk!$D18,Tab1,20,FALSE)))</f>
      </c>
      <c r="U50" s="217">
        <f>IF($A50=0,"",IF(VLOOKUP(HjArk!$D18,Tab1,21,FALSE)=0,"",VLOOKUP(HjArk!$D18,Tab1,21,FALSE)))</f>
      </c>
      <c r="V50" s="217">
        <f>IF($A50=0,"",IF(VLOOKUP(HjArk!$D18,Tab1,22,FALSE)=0,"",VLOOKUP(HjArk!$D18,Tab1,22,FALSE)))</f>
      </c>
      <c r="W50" s="217">
        <f>IF($A50=0,"",IF(VLOOKUP(HjArk!$D18,Tab1,23,FALSE)=0,"",VLOOKUP(HjArk!$D18,Tab1,23,FALSE)))</f>
      </c>
      <c r="X50" s="217">
        <f>IF($A50=0,"",IF(VLOOKUP(HjArk!$D18,Tab1,24,FALSE)=0,"",VLOOKUP(HjArk!$D18,Tab1,24,FALSE)))</f>
      </c>
      <c r="Y50" s="217">
        <f>IF($A50=0,"",IF(VLOOKUP(HjArk!$D18,Tab1,25,FALSE)=0,"",VLOOKUP(HjArk!$D18,Tab1,25,FALSE)))</f>
      </c>
      <c r="Z50" s="217">
        <f>IF($A50=0,"",IF(VLOOKUP(HjArk!$D18,Tab1,26,FALSE)=0,"",VLOOKUP(HjArk!$D18,Tab1,26,FALSE)))</f>
      </c>
      <c r="AA50" s="217">
        <f>IF($A50=0,"",IF(VLOOKUP(HjArk!$D18,Tab1,27,FALSE)=0,"",VLOOKUP(HjArk!$D18,Tab1,27,FALSE)))</f>
      </c>
      <c r="AB50" s="217">
        <f>IF($A50=0,"",IF(VLOOKUP(HjArk!$D18,Tab1,28,FALSE)=0,"",VLOOKUP(HjArk!$D18,Tab1,28,FALSE)))</f>
      </c>
      <c r="AC50" s="217">
        <f>IF($A50=0,"",IF(VLOOKUP(HjArk!$D18,Tab1,29,FALSE)=0,"",VLOOKUP(HjArk!$D18,Tab1,29,FALSE)))</f>
      </c>
      <c r="AD50" s="217">
        <f>IF($A50=0,"",IF(VLOOKUP(HjArk!$D18,Tab1,30,FALSE)=0,"",VLOOKUP(HjArk!$D18,Tab1,30,FALSE)))</f>
      </c>
      <c r="AE50" s="217">
        <f>IF($A50=0,"",IF(VLOOKUP(HjArk!$D18,Tab1,31,FALSE)=0,"",VLOOKUP(HjArk!$D18,Tab1,31,FALSE)))</f>
      </c>
      <c r="AF50" s="217">
        <f>IF($A50=0,"",IF(VLOOKUP(HjArk!$D18,Tab1,32,FALSE)=0,"",VLOOKUP(HjArk!$D18,Tab1,32,FALSE)))</f>
      </c>
      <c r="AG50" s="217">
        <f>IF($A50=0,"",IF(VLOOKUP(HjArk!$D18,Tab1,33,FALSE)=0,"",VLOOKUP(HjArk!$D18,Tab1,33,FALSE)))</f>
      </c>
      <c r="AH50" s="217">
        <f>IF($A50=0,"",IF(VLOOKUP(HjArk!$D18,Tab1,34,FALSE)=0,"",VLOOKUP(HjArk!$D18,Tab1,34,FALSE)))</f>
      </c>
      <c r="AI50" s="217">
        <f>IF($A50=0,"",IF(VLOOKUP(HjArk!$D18,Tab1,35,FALSE)=0,"",VLOOKUP(HjArk!$D18,Tab1,35,FALSE)))</f>
      </c>
      <c r="AJ50" s="217">
        <f>IF($A50=0,"",IF(VLOOKUP(HjArk!$D18,Tab1,36,FALSE)=0,"",VLOOKUP(HjArk!$D18,Tab1,36,FALSE)))</f>
      </c>
      <c r="AK50" s="217">
        <f>IF($A50=0,"",IF(VLOOKUP(HjArk!$D18,Tab1,37,FALSE)=0,"",VLOOKUP(HjArk!$D18,Tab1,37,FALSE)))</f>
      </c>
      <c r="AL50" s="217">
        <f>IF($A50=0,"",IF(VLOOKUP(HjArk!$D18,Tab1,38,FALSE)=0,"",VLOOKUP(HjArk!$D18,Tab1,38,FALSE)))</f>
      </c>
      <c r="AM50" s="217">
        <f>IF($A50=0,"",IF(VLOOKUP(HjArk!$D18,Tab1,39,FALSE)=0,"",VLOOKUP(HjArk!$D18,Tab1,39,FALSE)))</f>
      </c>
      <c r="AN50" s="217">
        <f>IF($A50=0,"",IF(VLOOKUP(HjArk!$D18,Tab1,40,FALSE)=0,"",VLOOKUP(HjArk!$D18,Tab1,40,FALSE)))</f>
      </c>
      <c r="AO50" s="217">
        <f>IF($A50=0,"",IF(VLOOKUP(HjArk!$D18,Tab1,41,FALSE)=0,"",VLOOKUP(HjArk!$D18,Tab1,41,FALSE)))</f>
      </c>
      <c r="AP50" s="217">
        <f>IF($A50=0,"",IF(VLOOKUP(HjArk!$D18,Tab1,42,FALSE)=0,"",VLOOKUP(HjArk!$D18,Tab1,42,FALSE)))</f>
      </c>
      <c r="AQ50" s="217">
        <f>IF($A50=0,"",IF(VLOOKUP(HjArk!$D18,Tab1,43,FALSE)=0,"",VLOOKUP(HjArk!$D18,Tab1,43,FALSE)))</f>
      </c>
      <c r="AR50" s="217">
        <f>IF($A50=0,"",IF(VLOOKUP(HjArk!$D18,Tab1,44,FALSE)=0,"",VLOOKUP(HjArk!$D18,Tab1,44,FALSE)))</f>
      </c>
      <c r="AS50" s="217">
        <f>IF($A50=0,"",IF(VLOOKUP(HjArk!$D18,Tab1,45,FALSE)=0,"",VLOOKUP(HjArk!$D18,Tab1,45,FALSE)))</f>
      </c>
      <c r="AT50" s="217">
        <f>IF($A50=0,"",IF(VLOOKUP(HjArk!$D18,Tab1,46,FALSE)=0,"",VLOOKUP(HjArk!$D18,Tab1,46,FALSE)))</f>
      </c>
      <c r="AU50" s="217">
        <f>IF($A50=0,"",IF(VLOOKUP(HjArk!$D18,Tab1,47,FALSE)=0,"",VLOOKUP(HjArk!$D18,Tab1,47,FALSE)))</f>
      </c>
      <c r="AV50" s="217">
        <f>IF($A50=0,"",IF(VLOOKUP(HjArk!$D18,Tab1,48,FALSE)=0,"",VLOOKUP(HjArk!$D18,Tab1,48,FALSE)))</f>
      </c>
      <c r="AW50" s="217">
        <f>IF($A50=0,"",IF(VLOOKUP(HjArk!$D18,Tab1,49,FALSE)=0,"",VLOOKUP(HjArk!$D18,Tab1,49,FALSE)))</f>
      </c>
      <c r="AX50" s="217">
        <f>IF($A50=0,"",IF(VLOOKUP(HjArk!$D18,Tab1,50,FALSE)=0,"",VLOOKUP(HjArk!$D18,Tab1,50,FALSE)))</f>
      </c>
      <c r="AY50" s="217">
        <f>IF($A50=0,"",IF(VLOOKUP(HjArk!$D18,Tab1,51,FALSE)=0,"",VLOOKUP(HjArk!$D18,Tab1,51,FALSE)))</f>
      </c>
      <c r="AZ50" s="217">
        <f>IF($A50=0,"",IF(VLOOKUP(HjArk!$D18,Tab1,52,FALSE)=0,"",VLOOKUP(HjArk!$D18,Tab1,52,FALSE)))</f>
      </c>
      <c r="BA50" s="217">
        <f>IF($A50=0,"",IF(VLOOKUP(HjArk!$D18,Tab1,53,FALSE)=0,"",VLOOKUP(HjArk!$D18,Tab1,53,FALSE)))</f>
      </c>
      <c r="BB50" s="217">
        <f>IF($A50=0,"",IF(VLOOKUP(HjArk!$D18,Tab1,54,FALSE)=0,"",VLOOKUP(HjArk!$D18,Tab1,54,FALSE)))</f>
      </c>
      <c r="BC50" s="217">
        <f>IF($A50=0,"",IF(VLOOKUP(HjArk!$D18,Tab1,55,FALSE)=0,"",VLOOKUP(HjArk!$D18,Tab1,55,FALSE)))</f>
      </c>
      <c r="BD50" s="217">
        <f>IF($A50=0,"",IF(VLOOKUP(HjArk!$D18,Tab1,56,FALSE)=0,"",VLOOKUP(HjArk!$D18,Tab1,56,FALSE)))</f>
      </c>
      <c r="BE50" s="217">
        <f>IF($A50=0,"",IF(VLOOKUP(HjArk!$D18,Tab1,57,FALSE)=0,"",VLOOKUP(HjArk!$D18,Tab1,57,FALSE)))</f>
      </c>
      <c r="BF50" s="217">
        <f>IF($A50=0,"",IF(VLOOKUP(HjArk!$D18,Tab1,58,FALSE)=0,"",VLOOKUP(HjArk!$D18,Tab1,58,FALSE)))</f>
      </c>
      <c r="BG50" s="217">
        <f>IF($A50=0,"",IF(VLOOKUP(HjArk!$D18,Tab1,59,FALSE)=0,"",VLOOKUP(HjArk!$D18,Tab1,59,FALSE)))</f>
      </c>
      <c r="BH50" s="217">
        <f>IF($A50=0,"",IF(VLOOKUP(HjArk!$D18,Tab1,60,FALSE)=0,"",VLOOKUP(HjArk!$D18,Tab1,60,FALSE)))</f>
      </c>
      <c r="BI50" s="217">
        <f>IF($A50=0,"",IF(VLOOKUP(HjArk!$D18,Tab1,61,FALSE)=0,"",VLOOKUP(HjArk!$D18,Tab1,61,FALSE)))</f>
      </c>
      <c r="BJ50" s="217"/>
      <c r="BK50" s="217"/>
      <c r="BL50" s="218"/>
    </row>
    <row r="51" spans="1:64" ht="12.75">
      <c r="A51" s="132">
        <f>HjArk!B19</f>
        <v>0</v>
      </c>
      <c r="B51" s="216">
        <f>IF($A51=0,"",IF(VLOOKUP(HjArk!$D19,Tab1,2,FALSE)=0,"",VLOOKUP(HjArk!$D19,Tab1,2,FALSE)))</f>
      </c>
      <c r="C51" s="217">
        <f>IF($A51=0,"",IF(VLOOKUP(HjArk!$D19,Tab1,3,FALSE)=0,"",VLOOKUP(HjArk!$D19,Tab1,3,FALSE)))</f>
      </c>
      <c r="D51" s="217">
        <f>IF($A51=0,"",IF(VLOOKUP(HjArk!$D19,Tab1,4,FALSE)=0,"",VLOOKUP(HjArk!$D19,Tab1,4,FALSE)))</f>
      </c>
      <c r="E51" s="217">
        <f>IF($A51=0,"",IF(VLOOKUP(HjArk!$D19,Tab1,5,FALSE)=0,"",VLOOKUP(HjArk!$D19,Tab1,5,FALSE)))</f>
      </c>
      <c r="F51" s="217">
        <f>IF($A51=0,"",IF(VLOOKUP(HjArk!$D19,Tab1,6,FALSE)=0,"",VLOOKUP(HjArk!$D19,Tab1,6,FALSE)))</f>
      </c>
      <c r="G51" s="217">
        <f>IF($A51=0,"",IF(VLOOKUP(HjArk!$D19,Tab1,7,FALSE)=0,"",VLOOKUP(HjArk!$D19,Tab1,7,FALSE)))</f>
      </c>
      <c r="H51" s="217">
        <f>IF($A51=0,"",IF(VLOOKUP(HjArk!$D19,Tab1,8,FALSE)=0,"",VLOOKUP(HjArk!$D19,Tab1,8,FALSE)))</f>
      </c>
      <c r="I51" s="217">
        <f>IF($A51=0,"",IF(VLOOKUP(HjArk!$D19,Tab1,9,FALSE)=0,"",VLOOKUP(HjArk!$D19,Tab1,9,FALSE)))</f>
      </c>
      <c r="J51" s="217">
        <f>IF($A51=0,"",IF(VLOOKUP(HjArk!$D19,Tab1,10,FALSE)=0,"",VLOOKUP(HjArk!$D19,Tab1,10,FALSE)))</f>
      </c>
      <c r="K51" s="217">
        <f>IF($A51=0,"",IF(VLOOKUP(HjArk!$D19,Tab1,11,FALSE)=0,"",VLOOKUP(HjArk!$D19,Tab1,11,FALSE)))</f>
      </c>
      <c r="L51" s="217">
        <f>IF($A51=0,"",IF(VLOOKUP(HjArk!$D19,Tab1,12,FALSE)=0,"",VLOOKUP(HjArk!$D19,Tab1,12,FALSE)))</f>
      </c>
      <c r="M51" s="217">
        <f>IF($A51=0,"",IF(VLOOKUP(HjArk!$D19,Tab1,13,FALSE)=0,"",VLOOKUP(HjArk!$D19,Tab1,13,FALSE)))</f>
      </c>
      <c r="N51" s="217">
        <f>IF($A51=0,"",IF(VLOOKUP(HjArk!$D19,Tab1,14,FALSE)=0,"",VLOOKUP(HjArk!$D19,Tab1,14,FALSE)))</f>
      </c>
      <c r="O51" s="217">
        <f>IF($A51=0,"",IF(VLOOKUP(HjArk!$D19,Tab1,15,FALSE)=0,"",VLOOKUP(HjArk!$D19,Tab1,15,FALSE)))</f>
      </c>
      <c r="P51" s="217">
        <f>IF($A51=0,"",IF(VLOOKUP(HjArk!$D19,Tab1,16,FALSE)=0,"",VLOOKUP(HjArk!$D19,Tab1,16,FALSE)))</f>
      </c>
      <c r="Q51" s="217">
        <f>IF($A51=0,"",IF(VLOOKUP(HjArk!$D19,Tab1,17,FALSE)=0,"",VLOOKUP(HjArk!$D19,Tab1,17,FALSE)))</f>
      </c>
      <c r="R51" s="217">
        <f>IF($A51=0,"",IF(VLOOKUP(HjArk!$D19,Tab1,18,FALSE)=0,"",VLOOKUP(HjArk!$D19,Tab1,18,FALSE)))</f>
      </c>
      <c r="S51" s="217">
        <f>IF($A51=0,"",IF(VLOOKUP(HjArk!$D19,Tab1,19,FALSE)=0,"",VLOOKUP(HjArk!$D19,Tab1,19,FALSE)))</f>
      </c>
      <c r="T51" s="217">
        <f>IF($A51=0,"",IF(VLOOKUP(HjArk!$D19,Tab1,20,FALSE)=0,"",VLOOKUP(HjArk!$D19,Tab1,20,FALSE)))</f>
      </c>
      <c r="U51" s="217">
        <f>IF($A51=0,"",IF(VLOOKUP(HjArk!$D19,Tab1,21,FALSE)=0,"",VLOOKUP(HjArk!$D19,Tab1,21,FALSE)))</f>
      </c>
      <c r="V51" s="217">
        <f>IF($A51=0,"",IF(VLOOKUP(HjArk!$D19,Tab1,22,FALSE)=0,"",VLOOKUP(HjArk!$D19,Tab1,22,FALSE)))</f>
      </c>
      <c r="W51" s="217">
        <f>IF($A51=0,"",IF(VLOOKUP(HjArk!$D19,Tab1,23,FALSE)=0,"",VLOOKUP(HjArk!$D19,Tab1,23,FALSE)))</f>
      </c>
      <c r="X51" s="217">
        <f>IF($A51=0,"",IF(VLOOKUP(HjArk!$D19,Tab1,24,FALSE)=0,"",VLOOKUP(HjArk!$D19,Tab1,24,FALSE)))</f>
      </c>
      <c r="Y51" s="217">
        <f>IF($A51=0,"",IF(VLOOKUP(HjArk!$D19,Tab1,25,FALSE)=0,"",VLOOKUP(HjArk!$D19,Tab1,25,FALSE)))</f>
      </c>
      <c r="Z51" s="217">
        <f>IF($A51=0,"",IF(VLOOKUP(HjArk!$D19,Tab1,26,FALSE)=0,"",VLOOKUP(HjArk!$D19,Tab1,26,FALSE)))</f>
      </c>
      <c r="AA51" s="217">
        <f>IF($A51=0,"",IF(VLOOKUP(HjArk!$D19,Tab1,27,FALSE)=0,"",VLOOKUP(HjArk!$D19,Tab1,27,FALSE)))</f>
      </c>
      <c r="AB51" s="217">
        <f>IF($A51=0,"",IF(VLOOKUP(HjArk!$D19,Tab1,28,FALSE)=0,"",VLOOKUP(HjArk!$D19,Tab1,28,FALSE)))</f>
      </c>
      <c r="AC51" s="217">
        <f>IF($A51=0,"",IF(VLOOKUP(HjArk!$D19,Tab1,29,FALSE)=0,"",VLOOKUP(HjArk!$D19,Tab1,29,FALSE)))</f>
      </c>
      <c r="AD51" s="217">
        <f>IF($A51=0,"",IF(VLOOKUP(HjArk!$D19,Tab1,30,FALSE)=0,"",VLOOKUP(HjArk!$D19,Tab1,30,FALSE)))</f>
      </c>
      <c r="AE51" s="217">
        <f>IF($A51=0,"",IF(VLOOKUP(HjArk!$D19,Tab1,31,FALSE)=0,"",VLOOKUP(HjArk!$D19,Tab1,31,FALSE)))</f>
      </c>
      <c r="AF51" s="217">
        <f>IF($A51=0,"",IF(VLOOKUP(HjArk!$D19,Tab1,32,FALSE)=0,"",VLOOKUP(HjArk!$D19,Tab1,32,FALSE)))</f>
      </c>
      <c r="AG51" s="217">
        <f>IF($A51=0,"",IF(VLOOKUP(HjArk!$D19,Tab1,33,FALSE)=0,"",VLOOKUP(HjArk!$D19,Tab1,33,FALSE)))</f>
      </c>
      <c r="AH51" s="217">
        <f>IF($A51=0,"",IF(VLOOKUP(HjArk!$D19,Tab1,34,FALSE)=0,"",VLOOKUP(HjArk!$D19,Tab1,34,FALSE)))</f>
      </c>
      <c r="AI51" s="217">
        <f>IF($A51=0,"",IF(VLOOKUP(HjArk!$D19,Tab1,35,FALSE)=0,"",VLOOKUP(HjArk!$D19,Tab1,35,FALSE)))</f>
      </c>
      <c r="AJ51" s="217">
        <f>IF($A51=0,"",IF(VLOOKUP(HjArk!$D19,Tab1,36,FALSE)=0,"",VLOOKUP(HjArk!$D19,Tab1,36,FALSE)))</f>
      </c>
      <c r="AK51" s="217">
        <f>IF($A51=0,"",IF(VLOOKUP(HjArk!$D19,Tab1,37,FALSE)=0,"",VLOOKUP(HjArk!$D19,Tab1,37,FALSE)))</f>
      </c>
      <c r="AL51" s="217">
        <f>IF($A51=0,"",IF(VLOOKUP(HjArk!$D19,Tab1,38,FALSE)=0,"",VLOOKUP(HjArk!$D19,Tab1,38,FALSE)))</f>
      </c>
      <c r="AM51" s="217">
        <f>IF($A51=0,"",IF(VLOOKUP(HjArk!$D19,Tab1,39,FALSE)=0,"",VLOOKUP(HjArk!$D19,Tab1,39,FALSE)))</f>
      </c>
      <c r="AN51" s="217">
        <f>IF($A51=0,"",IF(VLOOKUP(HjArk!$D19,Tab1,40,FALSE)=0,"",VLOOKUP(HjArk!$D19,Tab1,40,FALSE)))</f>
      </c>
      <c r="AO51" s="217">
        <f>IF($A51=0,"",IF(VLOOKUP(HjArk!$D19,Tab1,41,FALSE)=0,"",VLOOKUP(HjArk!$D19,Tab1,41,FALSE)))</f>
      </c>
      <c r="AP51" s="217">
        <f>IF($A51=0,"",IF(VLOOKUP(HjArk!$D19,Tab1,42,FALSE)=0,"",VLOOKUP(HjArk!$D19,Tab1,42,FALSE)))</f>
      </c>
      <c r="AQ51" s="217">
        <f>IF($A51=0,"",IF(VLOOKUP(HjArk!$D19,Tab1,43,FALSE)=0,"",VLOOKUP(HjArk!$D19,Tab1,43,FALSE)))</f>
      </c>
      <c r="AR51" s="217">
        <f>IF($A51=0,"",IF(VLOOKUP(HjArk!$D19,Tab1,44,FALSE)=0,"",VLOOKUP(HjArk!$D19,Tab1,44,FALSE)))</f>
      </c>
      <c r="AS51" s="217">
        <f>IF($A51=0,"",IF(VLOOKUP(HjArk!$D19,Tab1,45,FALSE)=0,"",VLOOKUP(HjArk!$D19,Tab1,45,FALSE)))</f>
      </c>
      <c r="AT51" s="217">
        <f>IF($A51=0,"",IF(VLOOKUP(HjArk!$D19,Tab1,46,FALSE)=0,"",VLOOKUP(HjArk!$D19,Tab1,46,FALSE)))</f>
      </c>
      <c r="AU51" s="217">
        <f>IF($A51=0,"",IF(VLOOKUP(HjArk!$D19,Tab1,47,FALSE)=0,"",VLOOKUP(HjArk!$D19,Tab1,47,FALSE)))</f>
      </c>
      <c r="AV51" s="217">
        <f>IF($A51=0,"",IF(VLOOKUP(HjArk!$D19,Tab1,48,FALSE)=0,"",VLOOKUP(HjArk!$D19,Tab1,48,FALSE)))</f>
      </c>
      <c r="AW51" s="217">
        <f>IF($A51=0,"",IF(VLOOKUP(HjArk!$D19,Tab1,49,FALSE)=0,"",VLOOKUP(HjArk!$D19,Tab1,49,FALSE)))</f>
      </c>
      <c r="AX51" s="217">
        <f>IF($A51=0,"",IF(VLOOKUP(HjArk!$D19,Tab1,50,FALSE)=0,"",VLOOKUP(HjArk!$D19,Tab1,50,FALSE)))</f>
      </c>
      <c r="AY51" s="217">
        <f>IF($A51=0,"",IF(VLOOKUP(HjArk!$D19,Tab1,51,FALSE)=0,"",VLOOKUP(HjArk!$D19,Tab1,51,FALSE)))</f>
      </c>
      <c r="AZ51" s="217">
        <f>IF($A51=0,"",IF(VLOOKUP(HjArk!$D19,Tab1,52,FALSE)=0,"",VLOOKUP(HjArk!$D19,Tab1,52,FALSE)))</f>
      </c>
      <c r="BA51" s="217">
        <f>IF($A51=0,"",IF(VLOOKUP(HjArk!$D19,Tab1,53,FALSE)=0,"",VLOOKUP(HjArk!$D19,Tab1,53,FALSE)))</f>
      </c>
      <c r="BB51" s="217">
        <f>IF($A51=0,"",IF(VLOOKUP(HjArk!$D19,Tab1,54,FALSE)=0,"",VLOOKUP(HjArk!$D19,Tab1,54,FALSE)))</f>
      </c>
      <c r="BC51" s="217">
        <f>IF($A51=0,"",IF(VLOOKUP(HjArk!$D19,Tab1,55,FALSE)=0,"",VLOOKUP(HjArk!$D19,Tab1,55,FALSE)))</f>
      </c>
      <c r="BD51" s="217">
        <f>IF($A51=0,"",IF(VLOOKUP(HjArk!$D19,Tab1,56,FALSE)=0,"",VLOOKUP(HjArk!$D19,Tab1,56,FALSE)))</f>
      </c>
      <c r="BE51" s="217">
        <f>IF($A51=0,"",IF(VLOOKUP(HjArk!$D19,Tab1,57,FALSE)=0,"",VLOOKUP(HjArk!$D19,Tab1,57,FALSE)))</f>
      </c>
      <c r="BF51" s="217">
        <f>IF($A51=0,"",IF(VLOOKUP(HjArk!$D19,Tab1,58,FALSE)=0,"",VLOOKUP(HjArk!$D19,Tab1,58,FALSE)))</f>
      </c>
      <c r="BG51" s="217">
        <f>IF($A51=0,"",IF(VLOOKUP(HjArk!$D19,Tab1,59,FALSE)=0,"",VLOOKUP(HjArk!$D19,Tab1,59,FALSE)))</f>
      </c>
      <c r="BH51" s="217">
        <f>IF($A51=0,"",IF(VLOOKUP(HjArk!$D19,Tab1,60,FALSE)=0,"",VLOOKUP(HjArk!$D19,Tab1,60,FALSE)))</f>
      </c>
      <c r="BI51" s="217">
        <f>IF($A51=0,"",IF(VLOOKUP(HjArk!$D19,Tab1,61,FALSE)=0,"",VLOOKUP(HjArk!$D19,Tab1,61,FALSE)))</f>
      </c>
      <c r="BJ51" s="217"/>
      <c r="BK51" s="217"/>
      <c r="BL51" s="218"/>
    </row>
    <row r="52" spans="1:64" ht="12.75">
      <c r="A52" s="132">
        <f>HjArk!B20</f>
        <v>0</v>
      </c>
      <c r="B52" s="216">
        <f>IF($A52=0,"",IF(VLOOKUP(HjArk!$D20,Tab1,2,FALSE)=0,"",VLOOKUP(HjArk!$D20,Tab1,2,FALSE)))</f>
      </c>
      <c r="C52" s="217">
        <f>IF($A52=0,"",IF(VLOOKUP(HjArk!$D20,Tab1,3,FALSE)=0,"",VLOOKUP(HjArk!$D20,Tab1,3,FALSE)))</f>
      </c>
      <c r="D52" s="217">
        <f>IF($A52=0,"",IF(VLOOKUP(HjArk!$D20,Tab1,4,FALSE)=0,"",VLOOKUP(HjArk!$D20,Tab1,4,FALSE)))</f>
      </c>
      <c r="E52" s="217">
        <f>IF($A52=0,"",IF(VLOOKUP(HjArk!$D20,Tab1,5,FALSE)=0,"",VLOOKUP(HjArk!$D20,Tab1,5,FALSE)))</f>
      </c>
      <c r="F52" s="217">
        <f>IF($A52=0,"",IF(VLOOKUP(HjArk!$D20,Tab1,6,FALSE)=0,"",VLOOKUP(HjArk!$D20,Tab1,6,FALSE)))</f>
      </c>
      <c r="G52" s="217">
        <f>IF($A52=0,"",IF(VLOOKUP(HjArk!$D20,Tab1,7,FALSE)=0,"",VLOOKUP(HjArk!$D20,Tab1,7,FALSE)))</f>
      </c>
      <c r="H52" s="217">
        <f>IF($A52=0,"",IF(VLOOKUP(HjArk!$D20,Tab1,8,FALSE)=0,"",VLOOKUP(HjArk!$D20,Tab1,8,FALSE)))</f>
      </c>
      <c r="I52" s="217">
        <f>IF($A52=0,"",IF(VLOOKUP(HjArk!$D20,Tab1,9,FALSE)=0,"",VLOOKUP(HjArk!$D20,Tab1,9,FALSE)))</f>
      </c>
      <c r="J52" s="217">
        <f>IF($A52=0,"",IF(VLOOKUP(HjArk!$D20,Tab1,10,FALSE)=0,"",VLOOKUP(HjArk!$D20,Tab1,10,FALSE)))</f>
      </c>
      <c r="K52" s="217">
        <f>IF($A52=0,"",IF(VLOOKUP(HjArk!$D20,Tab1,11,FALSE)=0,"",VLOOKUP(HjArk!$D20,Tab1,11,FALSE)))</f>
      </c>
      <c r="L52" s="217">
        <f>IF($A52=0,"",IF(VLOOKUP(HjArk!$D20,Tab1,12,FALSE)=0,"",VLOOKUP(HjArk!$D20,Tab1,12,FALSE)))</f>
      </c>
      <c r="M52" s="217">
        <f>IF($A52=0,"",IF(VLOOKUP(HjArk!$D20,Tab1,13,FALSE)=0,"",VLOOKUP(HjArk!$D20,Tab1,13,FALSE)))</f>
      </c>
      <c r="N52" s="217">
        <f>IF($A52=0,"",IF(VLOOKUP(HjArk!$D20,Tab1,14,FALSE)=0,"",VLOOKUP(HjArk!$D20,Tab1,14,FALSE)))</f>
      </c>
      <c r="O52" s="217">
        <f>IF($A52=0,"",IF(VLOOKUP(HjArk!$D20,Tab1,15,FALSE)=0,"",VLOOKUP(HjArk!$D20,Tab1,15,FALSE)))</f>
      </c>
      <c r="P52" s="217">
        <f>IF($A52=0,"",IF(VLOOKUP(HjArk!$D20,Tab1,16,FALSE)=0,"",VLOOKUP(HjArk!$D20,Tab1,16,FALSE)))</f>
      </c>
      <c r="Q52" s="217">
        <f>IF($A52=0,"",IF(VLOOKUP(HjArk!$D20,Tab1,17,FALSE)=0,"",VLOOKUP(HjArk!$D20,Tab1,17,FALSE)))</f>
      </c>
      <c r="R52" s="217">
        <f>IF($A52=0,"",IF(VLOOKUP(HjArk!$D20,Tab1,18,FALSE)=0,"",VLOOKUP(HjArk!$D20,Tab1,18,FALSE)))</f>
      </c>
      <c r="S52" s="217">
        <f>IF($A52=0,"",IF(VLOOKUP(HjArk!$D20,Tab1,19,FALSE)=0,"",VLOOKUP(HjArk!$D20,Tab1,19,FALSE)))</f>
      </c>
      <c r="T52" s="217">
        <f>IF($A52=0,"",IF(VLOOKUP(HjArk!$D20,Tab1,20,FALSE)=0,"",VLOOKUP(HjArk!$D20,Tab1,20,FALSE)))</f>
      </c>
      <c r="U52" s="217">
        <f>IF($A52=0,"",IF(VLOOKUP(HjArk!$D20,Tab1,21,FALSE)=0,"",VLOOKUP(HjArk!$D20,Tab1,21,FALSE)))</f>
      </c>
      <c r="V52" s="217">
        <f>IF($A52=0,"",IF(VLOOKUP(HjArk!$D20,Tab1,22,FALSE)=0,"",VLOOKUP(HjArk!$D20,Tab1,22,FALSE)))</f>
      </c>
      <c r="W52" s="217">
        <f>IF($A52=0,"",IF(VLOOKUP(HjArk!$D20,Tab1,23,FALSE)=0,"",VLOOKUP(HjArk!$D20,Tab1,23,FALSE)))</f>
      </c>
      <c r="X52" s="217">
        <f>IF($A52=0,"",IF(VLOOKUP(HjArk!$D20,Tab1,24,FALSE)=0,"",VLOOKUP(HjArk!$D20,Tab1,24,FALSE)))</f>
      </c>
      <c r="Y52" s="217">
        <f>IF($A52=0,"",IF(VLOOKUP(HjArk!$D20,Tab1,25,FALSE)=0,"",VLOOKUP(HjArk!$D20,Tab1,25,FALSE)))</f>
      </c>
      <c r="Z52" s="217">
        <f>IF($A52=0,"",IF(VLOOKUP(HjArk!$D20,Tab1,26,FALSE)=0,"",VLOOKUP(HjArk!$D20,Tab1,26,FALSE)))</f>
      </c>
      <c r="AA52" s="217">
        <f>IF($A52=0,"",IF(VLOOKUP(HjArk!$D20,Tab1,27,FALSE)=0,"",VLOOKUP(HjArk!$D20,Tab1,27,FALSE)))</f>
      </c>
      <c r="AB52" s="217">
        <f>IF($A52=0,"",IF(VLOOKUP(HjArk!$D20,Tab1,28,FALSE)=0,"",VLOOKUP(HjArk!$D20,Tab1,28,FALSE)))</f>
      </c>
      <c r="AC52" s="217">
        <f>IF($A52=0,"",IF(VLOOKUP(HjArk!$D20,Tab1,29,FALSE)=0,"",VLOOKUP(HjArk!$D20,Tab1,29,FALSE)))</f>
      </c>
      <c r="AD52" s="217">
        <f>IF($A52=0,"",IF(VLOOKUP(HjArk!$D20,Tab1,30,FALSE)=0,"",VLOOKUP(HjArk!$D20,Tab1,30,FALSE)))</f>
      </c>
      <c r="AE52" s="217">
        <f>IF($A52=0,"",IF(VLOOKUP(HjArk!$D20,Tab1,31,FALSE)=0,"",VLOOKUP(HjArk!$D20,Tab1,31,FALSE)))</f>
      </c>
      <c r="AF52" s="217">
        <f>IF($A52=0,"",IF(VLOOKUP(HjArk!$D20,Tab1,32,FALSE)=0,"",VLOOKUP(HjArk!$D20,Tab1,32,FALSE)))</f>
      </c>
      <c r="AG52" s="217">
        <f>IF($A52=0,"",IF(VLOOKUP(HjArk!$D20,Tab1,33,FALSE)=0,"",VLOOKUP(HjArk!$D20,Tab1,33,FALSE)))</f>
      </c>
      <c r="AH52" s="217">
        <f>IF($A52=0,"",IF(VLOOKUP(HjArk!$D20,Tab1,34,FALSE)=0,"",VLOOKUP(HjArk!$D20,Tab1,34,FALSE)))</f>
      </c>
      <c r="AI52" s="217">
        <f>IF($A52=0,"",IF(VLOOKUP(HjArk!$D20,Tab1,35,FALSE)=0,"",VLOOKUP(HjArk!$D20,Tab1,35,FALSE)))</f>
      </c>
      <c r="AJ52" s="217">
        <f>IF($A52=0,"",IF(VLOOKUP(HjArk!$D20,Tab1,36,FALSE)=0,"",VLOOKUP(HjArk!$D20,Tab1,36,FALSE)))</f>
      </c>
      <c r="AK52" s="217">
        <f>IF($A52=0,"",IF(VLOOKUP(HjArk!$D20,Tab1,37,FALSE)=0,"",VLOOKUP(HjArk!$D20,Tab1,37,FALSE)))</f>
      </c>
      <c r="AL52" s="217">
        <f>IF($A52=0,"",IF(VLOOKUP(HjArk!$D20,Tab1,38,FALSE)=0,"",VLOOKUP(HjArk!$D20,Tab1,38,FALSE)))</f>
      </c>
      <c r="AM52" s="217">
        <f>IF($A52=0,"",IF(VLOOKUP(HjArk!$D20,Tab1,39,FALSE)=0,"",VLOOKUP(HjArk!$D20,Tab1,39,FALSE)))</f>
      </c>
      <c r="AN52" s="217">
        <f>IF($A52=0,"",IF(VLOOKUP(HjArk!$D20,Tab1,40,FALSE)=0,"",VLOOKUP(HjArk!$D20,Tab1,40,FALSE)))</f>
      </c>
      <c r="AO52" s="217">
        <f>IF($A52=0,"",IF(VLOOKUP(HjArk!$D20,Tab1,41,FALSE)=0,"",VLOOKUP(HjArk!$D20,Tab1,41,FALSE)))</f>
      </c>
      <c r="AP52" s="217">
        <f>IF($A52=0,"",IF(VLOOKUP(HjArk!$D20,Tab1,42,FALSE)=0,"",VLOOKUP(HjArk!$D20,Tab1,42,FALSE)))</f>
      </c>
      <c r="AQ52" s="217">
        <f>IF($A52=0,"",IF(VLOOKUP(HjArk!$D20,Tab1,43,FALSE)=0,"",VLOOKUP(HjArk!$D20,Tab1,43,FALSE)))</f>
      </c>
      <c r="AR52" s="217">
        <f>IF($A52=0,"",IF(VLOOKUP(HjArk!$D20,Tab1,44,FALSE)=0,"",VLOOKUP(HjArk!$D20,Tab1,44,FALSE)))</f>
      </c>
      <c r="AS52" s="217">
        <f>IF($A52=0,"",IF(VLOOKUP(HjArk!$D20,Tab1,45,FALSE)=0,"",VLOOKUP(HjArk!$D20,Tab1,45,FALSE)))</f>
      </c>
      <c r="AT52" s="217">
        <f>IF($A52=0,"",IF(VLOOKUP(HjArk!$D20,Tab1,46,FALSE)=0,"",VLOOKUP(HjArk!$D20,Tab1,46,FALSE)))</f>
      </c>
      <c r="AU52" s="217">
        <f>IF($A52=0,"",IF(VLOOKUP(HjArk!$D20,Tab1,47,FALSE)=0,"",VLOOKUP(HjArk!$D20,Tab1,47,FALSE)))</f>
      </c>
      <c r="AV52" s="217">
        <f>IF($A52=0,"",IF(VLOOKUP(HjArk!$D20,Tab1,48,FALSE)=0,"",VLOOKUP(HjArk!$D20,Tab1,48,FALSE)))</f>
      </c>
      <c r="AW52" s="217">
        <f>IF($A52=0,"",IF(VLOOKUP(HjArk!$D20,Tab1,49,FALSE)=0,"",VLOOKUP(HjArk!$D20,Tab1,49,FALSE)))</f>
      </c>
      <c r="AX52" s="217">
        <f>IF($A52=0,"",IF(VLOOKUP(HjArk!$D20,Tab1,50,FALSE)=0,"",VLOOKUP(HjArk!$D20,Tab1,50,FALSE)))</f>
      </c>
      <c r="AY52" s="217">
        <f>IF($A52=0,"",IF(VLOOKUP(HjArk!$D20,Tab1,51,FALSE)=0,"",VLOOKUP(HjArk!$D20,Tab1,51,FALSE)))</f>
      </c>
      <c r="AZ52" s="217">
        <f>IF($A52=0,"",IF(VLOOKUP(HjArk!$D20,Tab1,52,FALSE)=0,"",VLOOKUP(HjArk!$D20,Tab1,52,FALSE)))</f>
      </c>
      <c r="BA52" s="217">
        <f>IF($A52=0,"",IF(VLOOKUP(HjArk!$D20,Tab1,53,FALSE)=0,"",VLOOKUP(HjArk!$D20,Tab1,53,FALSE)))</f>
      </c>
      <c r="BB52" s="217">
        <f>IF($A52=0,"",IF(VLOOKUP(HjArk!$D20,Tab1,54,FALSE)=0,"",VLOOKUP(HjArk!$D20,Tab1,54,FALSE)))</f>
      </c>
      <c r="BC52" s="217">
        <f>IF($A52=0,"",IF(VLOOKUP(HjArk!$D20,Tab1,55,FALSE)=0,"",VLOOKUP(HjArk!$D20,Tab1,55,FALSE)))</f>
      </c>
      <c r="BD52" s="217">
        <f>IF($A52=0,"",IF(VLOOKUP(HjArk!$D20,Tab1,56,FALSE)=0,"",VLOOKUP(HjArk!$D20,Tab1,56,FALSE)))</f>
      </c>
      <c r="BE52" s="217">
        <f>IF($A52=0,"",IF(VLOOKUP(HjArk!$D20,Tab1,57,FALSE)=0,"",VLOOKUP(HjArk!$D20,Tab1,57,FALSE)))</f>
      </c>
      <c r="BF52" s="217">
        <f>IF($A52=0,"",IF(VLOOKUP(HjArk!$D20,Tab1,58,FALSE)=0,"",VLOOKUP(HjArk!$D20,Tab1,58,FALSE)))</f>
      </c>
      <c r="BG52" s="217">
        <f>IF($A52=0,"",IF(VLOOKUP(HjArk!$D20,Tab1,59,FALSE)=0,"",VLOOKUP(HjArk!$D20,Tab1,59,FALSE)))</f>
      </c>
      <c r="BH52" s="217">
        <f>IF($A52=0,"",IF(VLOOKUP(HjArk!$D20,Tab1,60,FALSE)=0,"",VLOOKUP(HjArk!$D20,Tab1,60,FALSE)))</f>
      </c>
      <c r="BI52" s="217">
        <f>IF($A52=0,"",IF(VLOOKUP(HjArk!$D20,Tab1,61,FALSE)=0,"",VLOOKUP(HjArk!$D20,Tab1,61,FALSE)))</f>
      </c>
      <c r="BJ52" s="217"/>
      <c r="BK52" s="217"/>
      <c r="BL52" s="218"/>
    </row>
    <row r="53" spans="1:64" ht="12.75">
      <c r="A53" s="132">
        <f>HjArk!B21</f>
        <v>0</v>
      </c>
      <c r="B53" s="216">
        <f>IF($A53=0,"",IF(VLOOKUP(HjArk!$D21,Tab1,2,FALSE)=0,"",VLOOKUP(HjArk!$D21,Tab1,2,FALSE)))</f>
      </c>
      <c r="C53" s="217">
        <f>IF($A53=0,"",IF(VLOOKUP(HjArk!$D21,Tab1,3,FALSE)=0,"",VLOOKUP(HjArk!$D21,Tab1,3,FALSE)))</f>
      </c>
      <c r="D53" s="217">
        <f>IF($A53=0,"",IF(VLOOKUP(HjArk!$D21,Tab1,4,FALSE)=0,"",VLOOKUP(HjArk!$D21,Tab1,4,FALSE)))</f>
      </c>
      <c r="E53" s="217">
        <f>IF($A53=0,"",IF(VLOOKUP(HjArk!$D21,Tab1,5,FALSE)=0,"",VLOOKUP(HjArk!$D21,Tab1,5,FALSE)))</f>
      </c>
      <c r="F53" s="217">
        <f>IF($A53=0,"",IF(VLOOKUP(HjArk!$D21,Tab1,6,FALSE)=0,"",VLOOKUP(HjArk!$D21,Tab1,6,FALSE)))</f>
      </c>
      <c r="G53" s="217">
        <f>IF($A53=0,"",IF(VLOOKUP(HjArk!$D21,Tab1,7,FALSE)=0,"",VLOOKUP(HjArk!$D21,Tab1,7,FALSE)))</f>
      </c>
      <c r="H53" s="217">
        <f>IF($A53=0,"",IF(VLOOKUP(HjArk!$D21,Tab1,8,FALSE)=0,"",VLOOKUP(HjArk!$D21,Tab1,8,FALSE)))</f>
      </c>
      <c r="I53" s="217">
        <f>IF($A53=0,"",IF(VLOOKUP(HjArk!$D21,Tab1,9,FALSE)=0,"",VLOOKUP(HjArk!$D21,Tab1,9,FALSE)))</f>
      </c>
      <c r="J53" s="217">
        <f>IF($A53=0,"",IF(VLOOKUP(HjArk!$D21,Tab1,10,FALSE)=0,"",VLOOKUP(HjArk!$D21,Tab1,10,FALSE)))</f>
      </c>
      <c r="K53" s="217">
        <f>IF($A53=0,"",IF(VLOOKUP(HjArk!$D21,Tab1,11,FALSE)=0,"",VLOOKUP(HjArk!$D21,Tab1,11,FALSE)))</f>
      </c>
      <c r="L53" s="217">
        <f>IF($A53=0,"",IF(VLOOKUP(HjArk!$D21,Tab1,12,FALSE)=0,"",VLOOKUP(HjArk!$D21,Tab1,12,FALSE)))</f>
      </c>
      <c r="M53" s="217">
        <f>IF($A53=0,"",IF(VLOOKUP(HjArk!$D21,Tab1,13,FALSE)=0,"",VLOOKUP(HjArk!$D21,Tab1,13,FALSE)))</f>
      </c>
      <c r="N53" s="217">
        <f>IF($A53=0,"",IF(VLOOKUP(HjArk!$D21,Tab1,14,FALSE)=0,"",VLOOKUP(HjArk!$D21,Tab1,14,FALSE)))</f>
      </c>
      <c r="O53" s="217">
        <f>IF($A53=0,"",IF(VLOOKUP(HjArk!$D21,Tab1,15,FALSE)=0,"",VLOOKUP(HjArk!$D21,Tab1,15,FALSE)))</f>
      </c>
      <c r="P53" s="217">
        <f>IF($A53=0,"",IF(VLOOKUP(HjArk!$D21,Tab1,16,FALSE)=0,"",VLOOKUP(HjArk!$D21,Tab1,16,FALSE)))</f>
      </c>
      <c r="Q53" s="217">
        <f>IF($A53=0,"",IF(VLOOKUP(HjArk!$D21,Tab1,17,FALSE)=0,"",VLOOKUP(HjArk!$D21,Tab1,17,FALSE)))</f>
      </c>
      <c r="R53" s="217">
        <f>IF($A53=0,"",IF(VLOOKUP(HjArk!$D21,Tab1,18,FALSE)=0,"",VLOOKUP(HjArk!$D21,Tab1,18,FALSE)))</f>
      </c>
      <c r="S53" s="217">
        <f>IF($A53=0,"",IF(VLOOKUP(HjArk!$D21,Tab1,19,FALSE)=0,"",VLOOKUP(HjArk!$D21,Tab1,19,FALSE)))</f>
      </c>
      <c r="T53" s="217">
        <f>IF($A53=0,"",IF(VLOOKUP(HjArk!$D21,Tab1,20,FALSE)=0,"",VLOOKUP(HjArk!$D21,Tab1,20,FALSE)))</f>
      </c>
      <c r="U53" s="217">
        <f>IF($A53=0,"",IF(VLOOKUP(HjArk!$D21,Tab1,21,FALSE)=0,"",VLOOKUP(HjArk!$D21,Tab1,21,FALSE)))</f>
      </c>
      <c r="V53" s="217">
        <f>IF($A53=0,"",IF(VLOOKUP(HjArk!$D21,Tab1,22,FALSE)=0,"",VLOOKUP(HjArk!$D21,Tab1,22,FALSE)))</f>
      </c>
      <c r="W53" s="217">
        <f>IF($A53=0,"",IF(VLOOKUP(HjArk!$D21,Tab1,23,FALSE)=0,"",VLOOKUP(HjArk!$D21,Tab1,23,FALSE)))</f>
      </c>
      <c r="X53" s="217">
        <f>IF($A53=0,"",IF(VLOOKUP(HjArk!$D21,Tab1,24,FALSE)=0,"",VLOOKUP(HjArk!$D21,Tab1,24,FALSE)))</f>
      </c>
      <c r="Y53" s="217">
        <f>IF($A53=0,"",IF(VLOOKUP(HjArk!$D21,Tab1,25,FALSE)=0,"",VLOOKUP(HjArk!$D21,Tab1,25,FALSE)))</f>
      </c>
      <c r="Z53" s="217">
        <f>IF($A53=0,"",IF(VLOOKUP(HjArk!$D21,Tab1,26,FALSE)=0,"",VLOOKUP(HjArk!$D21,Tab1,26,FALSE)))</f>
      </c>
      <c r="AA53" s="217">
        <f>IF($A53=0,"",IF(VLOOKUP(HjArk!$D21,Tab1,27,FALSE)=0,"",VLOOKUP(HjArk!$D21,Tab1,27,FALSE)))</f>
      </c>
      <c r="AB53" s="217">
        <f>IF($A53=0,"",IF(VLOOKUP(HjArk!$D21,Tab1,28,FALSE)=0,"",VLOOKUP(HjArk!$D21,Tab1,28,FALSE)))</f>
      </c>
      <c r="AC53" s="217">
        <f>IF($A53=0,"",IF(VLOOKUP(HjArk!$D21,Tab1,29,FALSE)=0,"",VLOOKUP(HjArk!$D21,Tab1,29,FALSE)))</f>
      </c>
      <c r="AD53" s="217">
        <f>IF($A53=0,"",IF(VLOOKUP(HjArk!$D21,Tab1,30,FALSE)=0,"",VLOOKUP(HjArk!$D21,Tab1,30,FALSE)))</f>
      </c>
      <c r="AE53" s="217">
        <f>IF($A53=0,"",IF(VLOOKUP(HjArk!$D21,Tab1,31,FALSE)=0,"",VLOOKUP(HjArk!$D21,Tab1,31,FALSE)))</f>
      </c>
      <c r="AF53" s="217">
        <f>IF($A53=0,"",IF(VLOOKUP(HjArk!$D21,Tab1,32,FALSE)=0,"",VLOOKUP(HjArk!$D21,Tab1,32,FALSE)))</f>
      </c>
      <c r="AG53" s="217">
        <f>IF($A53=0,"",IF(VLOOKUP(HjArk!$D21,Tab1,33,FALSE)=0,"",VLOOKUP(HjArk!$D21,Tab1,33,FALSE)))</f>
      </c>
      <c r="AH53" s="217">
        <f>IF($A53=0,"",IF(VLOOKUP(HjArk!$D21,Tab1,34,FALSE)=0,"",VLOOKUP(HjArk!$D21,Tab1,34,FALSE)))</f>
      </c>
      <c r="AI53" s="217">
        <f>IF($A53=0,"",IF(VLOOKUP(HjArk!$D21,Tab1,35,FALSE)=0,"",VLOOKUP(HjArk!$D21,Tab1,35,FALSE)))</f>
      </c>
      <c r="AJ53" s="217">
        <f>IF($A53=0,"",IF(VLOOKUP(HjArk!$D21,Tab1,36,FALSE)=0,"",VLOOKUP(HjArk!$D21,Tab1,36,FALSE)))</f>
      </c>
      <c r="AK53" s="217">
        <f>IF($A53=0,"",IF(VLOOKUP(HjArk!$D21,Tab1,37,FALSE)=0,"",VLOOKUP(HjArk!$D21,Tab1,37,FALSE)))</f>
      </c>
      <c r="AL53" s="217">
        <f>IF($A53=0,"",IF(VLOOKUP(HjArk!$D21,Tab1,38,FALSE)=0,"",VLOOKUP(HjArk!$D21,Tab1,38,FALSE)))</f>
      </c>
      <c r="AM53" s="217">
        <f>IF($A53=0,"",IF(VLOOKUP(HjArk!$D21,Tab1,39,FALSE)=0,"",VLOOKUP(HjArk!$D21,Tab1,39,FALSE)))</f>
      </c>
      <c r="AN53" s="217">
        <f>IF($A53=0,"",IF(VLOOKUP(HjArk!$D21,Tab1,40,FALSE)=0,"",VLOOKUP(HjArk!$D21,Tab1,40,FALSE)))</f>
      </c>
      <c r="AO53" s="217">
        <f>IF($A53=0,"",IF(VLOOKUP(HjArk!$D21,Tab1,41,FALSE)=0,"",VLOOKUP(HjArk!$D21,Tab1,41,FALSE)))</f>
      </c>
      <c r="AP53" s="217">
        <f>IF($A53=0,"",IF(VLOOKUP(HjArk!$D21,Tab1,42,FALSE)=0,"",VLOOKUP(HjArk!$D21,Tab1,42,FALSE)))</f>
      </c>
      <c r="AQ53" s="217">
        <f>IF($A53=0,"",IF(VLOOKUP(HjArk!$D21,Tab1,43,FALSE)=0,"",VLOOKUP(HjArk!$D21,Tab1,43,FALSE)))</f>
      </c>
      <c r="AR53" s="217">
        <f>IF($A53=0,"",IF(VLOOKUP(HjArk!$D21,Tab1,44,FALSE)=0,"",VLOOKUP(HjArk!$D21,Tab1,44,FALSE)))</f>
      </c>
      <c r="AS53" s="217">
        <f>IF($A53=0,"",IF(VLOOKUP(HjArk!$D21,Tab1,45,FALSE)=0,"",VLOOKUP(HjArk!$D21,Tab1,45,FALSE)))</f>
      </c>
      <c r="AT53" s="217">
        <f>IF($A53=0,"",IF(VLOOKUP(HjArk!$D21,Tab1,46,FALSE)=0,"",VLOOKUP(HjArk!$D21,Tab1,46,FALSE)))</f>
      </c>
      <c r="AU53" s="217">
        <f>IF($A53=0,"",IF(VLOOKUP(HjArk!$D21,Tab1,47,FALSE)=0,"",VLOOKUP(HjArk!$D21,Tab1,47,FALSE)))</f>
      </c>
      <c r="AV53" s="217">
        <f>IF($A53=0,"",IF(VLOOKUP(HjArk!$D21,Tab1,48,FALSE)=0,"",VLOOKUP(HjArk!$D21,Tab1,48,FALSE)))</f>
      </c>
      <c r="AW53" s="217">
        <f>IF($A53=0,"",IF(VLOOKUP(HjArk!$D21,Tab1,49,FALSE)=0,"",VLOOKUP(HjArk!$D21,Tab1,49,FALSE)))</f>
      </c>
      <c r="AX53" s="217">
        <f>IF($A53=0,"",IF(VLOOKUP(HjArk!$D21,Tab1,50,FALSE)=0,"",VLOOKUP(HjArk!$D21,Tab1,50,FALSE)))</f>
      </c>
      <c r="AY53" s="217">
        <f>IF($A53=0,"",IF(VLOOKUP(HjArk!$D21,Tab1,51,FALSE)=0,"",VLOOKUP(HjArk!$D21,Tab1,51,FALSE)))</f>
      </c>
      <c r="AZ53" s="217">
        <f>IF($A53=0,"",IF(VLOOKUP(HjArk!$D21,Tab1,52,FALSE)=0,"",VLOOKUP(HjArk!$D21,Tab1,52,FALSE)))</f>
      </c>
      <c r="BA53" s="217">
        <f>IF($A53=0,"",IF(VLOOKUP(HjArk!$D21,Tab1,53,FALSE)=0,"",VLOOKUP(HjArk!$D21,Tab1,53,FALSE)))</f>
      </c>
      <c r="BB53" s="217">
        <f>IF($A53=0,"",IF(VLOOKUP(HjArk!$D21,Tab1,54,FALSE)=0,"",VLOOKUP(HjArk!$D21,Tab1,54,FALSE)))</f>
      </c>
      <c r="BC53" s="217">
        <f>IF($A53=0,"",IF(VLOOKUP(HjArk!$D21,Tab1,55,FALSE)=0,"",VLOOKUP(HjArk!$D21,Tab1,55,FALSE)))</f>
      </c>
      <c r="BD53" s="217">
        <f>IF($A53=0,"",IF(VLOOKUP(HjArk!$D21,Tab1,56,FALSE)=0,"",VLOOKUP(HjArk!$D21,Tab1,56,FALSE)))</f>
      </c>
      <c r="BE53" s="217">
        <f>IF($A53=0,"",IF(VLOOKUP(HjArk!$D21,Tab1,57,FALSE)=0,"",VLOOKUP(HjArk!$D21,Tab1,57,FALSE)))</f>
      </c>
      <c r="BF53" s="217">
        <f>IF($A53=0,"",IF(VLOOKUP(HjArk!$D21,Tab1,58,FALSE)=0,"",VLOOKUP(HjArk!$D21,Tab1,58,FALSE)))</f>
      </c>
      <c r="BG53" s="217">
        <f>IF($A53=0,"",IF(VLOOKUP(HjArk!$D21,Tab1,59,FALSE)=0,"",VLOOKUP(HjArk!$D21,Tab1,59,FALSE)))</f>
      </c>
      <c r="BH53" s="217">
        <f>IF($A53=0,"",IF(VLOOKUP(HjArk!$D21,Tab1,60,FALSE)=0,"",VLOOKUP(HjArk!$D21,Tab1,60,FALSE)))</f>
      </c>
      <c r="BI53" s="217">
        <f>IF($A53=0,"",IF(VLOOKUP(HjArk!$D21,Tab1,61,FALSE)=0,"",VLOOKUP(HjArk!$D21,Tab1,61,FALSE)))</f>
      </c>
      <c r="BJ53" s="217"/>
      <c r="BK53" s="217"/>
      <c r="BL53" s="218"/>
    </row>
    <row r="54" spans="1:64" ht="12.75">
      <c r="A54" s="132">
        <f>HjArk!B22</f>
        <v>0</v>
      </c>
      <c r="B54" s="216">
        <f>IF($A54=0,"",IF(VLOOKUP(HjArk!$D22,Tab1,2,FALSE)=0,"",VLOOKUP(HjArk!$D22,Tab1,2,FALSE)))</f>
      </c>
      <c r="C54" s="217">
        <f>IF($A54=0,"",IF(VLOOKUP(HjArk!$D22,Tab1,3,FALSE)=0,"",VLOOKUP(HjArk!$D22,Tab1,3,FALSE)))</f>
      </c>
      <c r="D54" s="217">
        <f>IF($A54=0,"",IF(VLOOKUP(HjArk!$D22,Tab1,4,FALSE)=0,"",VLOOKUP(HjArk!$D22,Tab1,4,FALSE)))</f>
      </c>
      <c r="E54" s="217">
        <f>IF($A54=0,"",IF(VLOOKUP(HjArk!$D22,Tab1,5,FALSE)=0,"",VLOOKUP(HjArk!$D22,Tab1,5,FALSE)))</f>
      </c>
      <c r="F54" s="217">
        <f>IF($A54=0,"",IF(VLOOKUP(HjArk!$D22,Tab1,6,FALSE)=0,"",VLOOKUP(HjArk!$D22,Tab1,6,FALSE)))</f>
      </c>
      <c r="G54" s="217">
        <f>IF($A54=0,"",IF(VLOOKUP(HjArk!$D22,Tab1,7,FALSE)=0,"",VLOOKUP(HjArk!$D22,Tab1,7,FALSE)))</f>
      </c>
      <c r="H54" s="217">
        <f>IF($A54=0,"",IF(VLOOKUP(HjArk!$D22,Tab1,8,FALSE)=0,"",VLOOKUP(HjArk!$D22,Tab1,8,FALSE)))</f>
      </c>
      <c r="I54" s="217">
        <f>IF($A54=0,"",IF(VLOOKUP(HjArk!$D22,Tab1,9,FALSE)=0,"",VLOOKUP(HjArk!$D22,Tab1,9,FALSE)))</f>
      </c>
      <c r="J54" s="217">
        <f>IF($A54=0,"",IF(VLOOKUP(HjArk!$D22,Tab1,10,FALSE)=0,"",VLOOKUP(HjArk!$D22,Tab1,10,FALSE)))</f>
      </c>
      <c r="K54" s="217">
        <f>IF($A54=0,"",IF(VLOOKUP(HjArk!$D22,Tab1,11,FALSE)=0,"",VLOOKUP(HjArk!$D22,Tab1,11,FALSE)))</f>
      </c>
      <c r="L54" s="217">
        <f>IF($A54=0,"",IF(VLOOKUP(HjArk!$D22,Tab1,12,FALSE)=0,"",VLOOKUP(HjArk!$D22,Tab1,12,FALSE)))</f>
      </c>
      <c r="M54" s="217">
        <f>IF($A54=0,"",IF(VLOOKUP(HjArk!$D22,Tab1,13,FALSE)=0,"",VLOOKUP(HjArk!$D22,Tab1,13,FALSE)))</f>
      </c>
      <c r="N54" s="217">
        <f>IF($A54=0,"",IF(VLOOKUP(HjArk!$D22,Tab1,14,FALSE)=0,"",VLOOKUP(HjArk!$D22,Tab1,14,FALSE)))</f>
      </c>
      <c r="O54" s="217">
        <f>IF($A54=0,"",IF(VLOOKUP(HjArk!$D22,Tab1,15,FALSE)=0,"",VLOOKUP(HjArk!$D22,Tab1,15,FALSE)))</f>
      </c>
      <c r="P54" s="217">
        <f>IF($A54=0,"",IF(VLOOKUP(HjArk!$D22,Tab1,16,FALSE)=0,"",VLOOKUP(HjArk!$D22,Tab1,16,FALSE)))</f>
      </c>
      <c r="Q54" s="217">
        <f>IF($A54=0,"",IF(VLOOKUP(HjArk!$D22,Tab1,17,FALSE)=0,"",VLOOKUP(HjArk!$D22,Tab1,17,FALSE)))</f>
      </c>
      <c r="R54" s="217">
        <f>IF($A54=0,"",IF(VLOOKUP(HjArk!$D22,Tab1,18,FALSE)=0,"",VLOOKUP(HjArk!$D22,Tab1,18,FALSE)))</f>
      </c>
      <c r="S54" s="217">
        <f>IF($A54=0,"",IF(VLOOKUP(HjArk!$D22,Tab1,19,FALSE)=0,"",VLOOKUP(HjArk!$D22,Tab1,19,FALSE)))</f>
      </c>
      <c r="T54" s="217">
        <f>IF($A54=0,"",IF(VLOOKUP(HjArk!$D22,Tab1,20,FALSE)=0,"",VLOOKUP(HjArk!$D22,Tab1,20,FALSE)))</f>
      </c>
      <c r="U54" s="217">
        <f>IF($A54=0,"",IF(VLOOKUP(HjArk!$D22,Tab1,21,FALSE)=0,"",VLOOKUP(HjArk!$D22,Tab1,21,FALSE)))</f>
      </c>
      <c r="V54" s="217">
        <f>IF($A54=0,"",IF(VLOOKUP(HjArk!$D22,Tab1,22,FALSE)=0,"",VLOOKUP(HjArk!$D22,Tab1,22,FALSE)))</f>
      </c>
      <c r="W54" s="217">
        <f>IF($A54=0,"",IF(VLOOKUP(HjArk!$D22,Tab1,23,FALSE)=0,"",VLOOKUP(HjArk!$D22,Tab1,23,FALSE)))</f>
      </c>
      <c r="X54" s="217">
        <f>IF($A54=0,"",IF(VLOOKUP(HjArk!$D22,Tab1,24,FALSE)=0,"",VLOOKUP(HjArk!$D22,Tab1,24,FALSE)))</f>
      </c>
      <c r="Y54" s="217">
        <f>IF($A54=0,"",IF(VLOOKUP(HjArk!$D22,Tab1,25,FALSE)=0,"",VLOOKUP(HjArk!$D22,Tab1,25,FALSE)))</f>
      </c>
      <c r="Z54" s="217">
        <f>IF($A54=0,"",IF(VLOOKUP(HjArk!$D22,Tab1,26,FALSE)=0,"",VLOOKUP(HjArk!$D22,Tab1,26,FALSE)))</f>
      </c>
      <c r="AA54" s="217">
        <f>IF($A54=0,"",IF(VLOOKUP(HjArk!$D22,Tab1,27,FALSE)=0,"",VLOOKUP(HjArk!$D22,Tab1,27,FALSE)))</f>
      </c>
      <c r="AB54" s="217">
        <f>IF($A54=0,"",IF(VLOOKUP(HjArk!$D22,Tab1,28,FALSE)=0,"",VLOOKUP(HjArk!$D22,Tab1,28,FALSE)))</f>
      </c>
      <c r="AC54" s="217">
        <f>IF($A54=0,"",IF(VLOOKUP(HjArk!$D22,Tab1,29,FALSE)=0,"",VLOOKUP(HjArk!$D22,Tab1,29,FALSE)))</f>
      </c>
      <c r="AD54" s="217">
        <f>IF($A54=0,"",IF(VLOOKUP(HjArk!$D22,Tab1,30,FALSE)=0,"",VLOOKUP(HjArk!$D22,Tab1,30,FALSE)))</f>
      </c>
      <c r="AE54" s="217">
        <f>IF($A54=0,"",IF(VLOOKUP(HjArk!$D22,Tab1,31,FALSE)=0,"",VLOOKUP(HjArk!$D22,Tab1,31,FALSE)))</f>
      </c>
      <c r="AF54" s="217">
        <f>IF($A54=0,"",IF(VLOOKUP(HjArk!$D22,Tab1,32,FALSE)=0,"",VLOOKUP(HjArk!$D22,Tab1,32,FALSE)))</f>
      </c>
      <c r="AG54" s="217">
        <f>IF($A54=0,"",IF(VLOOKUP(HjArk!$D22,Tab1,33,FALSE)=0,"",VLOOKUP(HjArk!$D22,Tab1,33,FALSE)))</f>
      </c>
      <c r="AH54" s="217">
        <f>IF($A54=0,"",IF(VLOOKUP(HjArk!$D22,Tab1,34,FALSE)=0,"",VLOOKUP(HjArk!$D22,Tab1,34,FALSE)))</f>
      </c>
      <c r="AI54" s="217">
        <f>IF($A54=0,"",IF(VLOOKUP(HjArk!$D22,Tab1,35,FALSE)=0,"",VLOOKUP(HjArk!$D22,Tab1,35,FALSE)))</f>
      </c>
      <c r="AJ54" s="217">
        <f>IF($A54=0,"",IF(VLOOKUP(HjArk!$D22,Tab1,36,FALSE)=0,"",VLOOKUP(HjArk!$D22,Tab1,36,FALSE)))</f>
      </c>
      <c r="AK54" s="217">
        <f>IF($A54=0,"",IF(VLOOKUP(HjArk!$D22,Tab1,37,FALSE)=0,"",VLOOKUP(HjArk!$D22,Tab1,37,FALSE)))</f>
      </c>
      <c r="AL54" s="217">
        <f>IF($A54=0,"",IF(VLOOKUP(HjArk!$D22,Tab1,38,FALSE)=0,"",VLOOKUP(HjArk!$D22,Tab1,38,FALSE)))</f>
      </c>
      <c r="AM54" s="217">
        <f>IF($A54=0,"",IF(VLOOKUP(HjArk!$D22,Tab1,39,FALSE)=0,"",VLOOKUP(HjArk!$D22,Tab1,39,FALSE)))</f>
      </c>
      <c r="AN54" s="217">
        <f>IF($A54=0,"",IF(VLOOKUP(HjArk!$D22,Tab1,40,FALSE)=0,"",VLOOKUP(HjArk!$D22,Tab1,40,FALSE)))</f>
      </c>
      <c r="AO54" s="217">
        <f>IF($A54=0,"",IF(VLOOKUP(HjArk!$D22,Tab1,41,FALSE)=0,"",VLOOKUP(HjArk!$D22,Tab1,41,FALSE)))</f>
      </c>
      <c r="AP54" s="217">
        <f>IF($A54=0,"",IF(VLOOKUP(HjArk!$D22,Tab1,42,FALSE)=0,"",VLOOKUP(HjArk!$D22,Tab1,42,FALSE)))</f>
      </c>
      <c r="AQ54" s="217">
        <f>IF($A54=0,"",IF(VLOOKUP(HjArk!$D22,Tab1,43,FALSE)=0,"",VLOOKUP(HjArk!$D22,Tab1,43,FALSE)))</f>
      </c>
      <c r="AR54" s="217">
        <f>IF($A54=0,"",IF(VLOOKUP(HjArk!$D22,Tab1,44,FALSE)=0,"",VLOOKUP(HjArk!$D22,Tab1,44,FALSE)))</f>
      </c>
      <c r="AS54" s="217">
        <f>IF($A54=0,"",IF(VLOOKUP(HjArk!$D22,Tab1,45,FALSE)=0,"",VLOOKUP(HjArk!$D22,Tab1,45,FALSE)))</f>
      </c>
      <c r="AT54" s="217">
        <f>IF($A54=0,"",IF(VLOOKUP(HjArk!$D22,Tab1,46,FALSE)=0,"",VLOOKUP(HjArk!$D22,Tab1,46,FALSE)))</f>
      </c>
      <c r="AU54" s="217">
        <f>IF($A54=0,"",IF(VLOOKUP(HjArk!$D22,Tab1,47,FALSE)=0,"",VLOOKUP(HjArk!$D22,Tab1,47,FALSE)))</f>
      </c>
      <c r="AV54" s="217">
        <f>IF($A54=0,"",IF(VLOOKUP(HjArk!$D22,Tab1,48,FALSE)=0,"",VLOOKUP(HjArk!$D22,Tab1,48,FALSE)))</f>
      </c>
      <c r="AW54" s="217">
        <f>IF($A54=0,"",IF(VLOOKUP(HjArk!$D22,Tab1,49,FALSE)=0,"",VLOOKUP(HjArk!$D22,Tab1,49,FALSE)))</f>
      </c>
      <c r="AX54" s="217">
        <f>IF($A54=0,"",IF(VLOOKUP(HjArk!$D22,Tab1,50,FALSE)=0,"",VLOOKUP(HjArk!$D22,Tab1,50,FALSE)))</f>
      </c>
      <c r="AY54" s="217">
        <f>IF($A54=0,"",IF(VLOOKUP(HjArk!$D22,Tab1,51,FALSE)=0,"",VLOOKUP(HjArk!$D22,Tab1,51,FALSE)))</f>
      </c>
      <c r="AZ54" s="217">
        <f>IF($A54=0,"",IF(VLOOKUP(HjArk!$D22,Tab1,52,FALSE)=0,"",VLOOKUP(HjArk!$D22,Tab1,52,FALSE)))</f>
      </c>
      <c r="BA54" s="217">
        <f>IF($A54=0,"",IF(VLOOKUP(HjArk!$D22,Tab1,53,FALSE)=0,"",VLOOKUP(HjArk!$D22,Tab1,53,FALSE)))</f>
      </c>
      <c r="BB54" s="217">
        <f>IF($A54=0,"",IF(VLOOKUP(HjArk!$D22,Tab1,54,FALSE)=0,"",VLOOKUP(HjArk!$D22,Tab1,54,FALSE)))</f>
      </c>
      <c r="BC54" s="217">
        <f>IF($A54=0,"",IF(VLOOKUP(HjArk!$D22,Tab1,55,FALSE)=0,"",VLOOKUP(HjArk!$D22,Tab1,55,FALSE)))</f>
      </c>
      <c r="BD54" s="217">
        <f>IF($A54=0,"",IF(VLOOKUP(HjArk!$D22,Tab1,56,FALSE)=0,"",VLOOKUP(HjArk!$D22,Tab1,56,FALSE)))</f>
      </c>
      <c r="BE54" s="217">
        <f>IF($A54=0,"",IF(VLOOKUP(HjArk!$D22,Tab1,57,FALSE)=0,"",VLOOKUP(HjArk!$D22,Tab1,57,FALSE)))</f>
      </c>
      <c r="BF54" s="217">
        <f>IF($A54=0,"",IF(VLOOKUP(HjArk!$D22,Tab1,58,FALSE)=0,"",VLOOKUP(HjArk!$D22,Tab1,58,FALSE)))</f>
      </c>
      <c r="BG54" s="217">
        <f>IF($A54=0,"",IF(VLOOKUP(HjArk!$D22,Tab1,59,FALSE)=0,"",VLOOKUP(HjArk!$D22,Tab1,59,FALSE)))</f>
      </c>
      <c r="BH54" s="217">
        <f>IF($A54=0,"",IF(VLOOKUP(HjArk!$D22,Tab1,60,FALSE)=0,"",VLOOKUP(HjArk!$D22,Tab1,60,FALSE)))</f>
      </c>
      <c r="BI54" s="217">
        <f>IF($A54=0,"",IF(VLOOKUP(HjArk!$D22,Tab1,61,FALSE)=0,"",VLOOKUP(HjArk!$D22,Tab1,61,FALSE)))</f>
      </c>
      <c r="BJ54" s="217"/>
      <c r="BK54" s="217"/>
      <c r="BL54" s="218"/>
    </row>
    <row r="55" spans="1:64" ht="12.75">
      <c r="A55" s="132">
        <f>HjArk!B23</f>
        <v>0</v>
      </c>
      <c r="B55" s="216">
        <f>IF($A55=0,"",IF(VLOOKUP(HjArk!$D23,Tab1,2,FALSE)=0,"",VLOOKUP(HjArk!$D23,Tab1,2,FALSE)))</f>
      </c>
      <c r="C55" s="217">
        <f>IF($A55=0,"",IF(VLOOKUP(HjArk!$D23,Tab1,3,FALSE)=0,"",VLOOKUP(HjArk!$D23,Tab1,3,FALSE)))</f>
      </c>
      <c r="D55" s="217">
        <f>IF($A55=0,"",IF(VLOOKUP(HjArk!$D23,Tab1,4,FALSE)=0,"",VLOOKUP(HjArk!$D23,Tab1,4,FALSE)))</f>
      </c>
      <c r="E55" s="217">
        <f>IF($A55=0,"",IF(VLOOKUP(HjArk!$D23,Tab1,5,FALSE)=0,"",VLOOKUP(HjArk!$D23,Tab1,5,FALSE)))</f>
      </c>
      <c r="F55" s="217">
        <f>IF($A55=0,"",IF(VLOOKUP(HjArk!$D23,Tab1,6,FALSE)=0,"",VLOOKUP(HjArk!$D23,Tab1,6,FALSE)))</f>
      </c>
      <c r="G55" s="217">
        <f>IF($A55=0,"",IF(VLOOKUP(HjArk!$D23,Tab1,7,FALSE)=0,"",VLOOKUP(HjArk!$D23,Tab1,7,FALSE)))</f>
      </c>
      <c r="H55" s="217">
        <f>IF($A55=0,"",IF(VLOOKUP(HjArk!$D23,Tab1,8,FALSE)=0,"",VLOOKUP(HjArk!$D23,Tab1,8,FALSE)))</f>
      </c>
      <c r="I55" s="217">
        <f>IF($A55=0,"",IF(VLOOKUP(HjArk!$D23,Tab1,9,FALSE)=0,"",VLOOKUP(HjArk!$D23,Tab1,9,FALSE)))</f>
      </c>
      <c r="J55" s="217">
        <f>IF($A55=0,"",IF(VLOOKUP(HjArk!$D23,Tab1,10,FALSE)=0,"",VLOOKUP(HjArk!$D23,Tab1,10,FALSE)))</f>
      </c>
      <c r="K55" s="217">
        <f>IF($A55=0,"",IF(VLOOKUP(HjArk!$D23,Tab1,11,FALSE)=0,"",VLOOKUP(HjArk!$D23,Tab1,11,FALSE)))</f>
      </c>
      <c r="L55" s="217">
        <f>IF($A55=0,"",IF(VLOOKUP(HjArk!$D23,Tab1,12,FALSE)=0,"",VLOOKUP(HjArk!$D23,Tab1,12,FALSE)))</f>
      </c>
      <c r="M55" s="217">
        <f>IF($A55=0,"",IF(VLOOKUP(HjArk!$D23,Tab1,13,FALSE)=0,"",VLOOKUP(HjArk!$D23,Tab1,13,FALSE)))</f>
      </c>
      <c r="N55" s="217">
        <f>IF($A55=0,"",IF(VLOOKUP(HjArk!$D23,Tab1,14,FALSE)=0,"",VLOOKUP(HjArk!$D23,Tab1,14,FALSE)))</f>
      </c>
      <c r="O55" s="217">
        <f>IF($A55=0,"",IF(VLOOKUP(HjArk!$D23,Tab1,15,FALSE)=0,"",VLOOKUP(HjArk!$D23,Tab1,15,FALSE)))</f>
      </c>
      <c r="P55" s="217">
        <f>IF($A55=0,"",IF(VLOOKUP(HjArk!$D23,Tab1,16,FALSE)=0,"",VLOOKUP(HjArk!$D23,Tab1,16,FALSE)))</f>
      </c>
      <c r="Q55" s="217">
        <f>IF($A55=0,"",IF(VLOOKUP(HjArk!$D23,Tab1,17,FALSE)=0,"",VLOOKUP(HjArk!$D23,Tab1,17,FALSE)))</f>
      </c>
      <c r="R55" s="217">
        <f>IF($A55=0,"",IF(VLOOKUP(HjArk!$D23,Tab1,18,FALSE)=0,"",VLOOKUP(HjArk!$D23,Tab1,18,FALSE)))</f>
      </c>
      <c r="S55" s="217">
        <f>IF($A55=0,"",IF(VLOOKUP(HjArk!$D23,Tab1,19,FALSE)=0,"",VLOOKUP(HjArk!$D23,Tab1,19,FALSE)))</f>
      </c>
      <c r="T55" s="217">
        <f>IF($A55=0,"",IF(VLOOKUP(HjArk!$D23,Tab1,20,FALSE)=0,"",VLOOKUP(HjArk!$D23,Tab1,20,FALSE)))</f>
      </c>
      <c r="U55" s="217">
        <f>IF($A55=0,"",IF(VLOOKUP(HjArk!$D23,Tab1,21,FALSE)=0,"",VLOOKUP(HjArk!$D23,Tab1,21,FALSE)))</f>
      </c>
      <c r="V55" s="217">
        <f>IF($A55=0,"",IF(VLOOKUP(HjArk!$D23,Tab1,22,FALSE)=0,"",VLOOKUP(HjArk!$D23,Tab1,22,FALSE)))</f>
      </c>
      <c r="W55" s="217">
        <f>IF($A55=0,"",IF(VLOOKUP(HjArk!$D23,Tab1,23,FALSE)=0,"",VLOOKUP(HjArk!$D23,Tab1,23,FALSE)))</f>
      </c>
      <c r="X55" s="217">
        <f>IF($A55=0,"",IF(VLOOKUP(HjArk!$D23,Tab1,24,FALSE)=0,"",VLOOKUP(HjArk!$D23,Tab1,24,FALSE)))</f>
      </c>
      <c r="Y55" s="217">
        <f>IF($A55=0,"",IF(VLOOKUP(HjArk!$D23,Tab1,25,FALSE)=0,"",VLOOKUP(HjArk!$D23,Tab1,25,FALSE)))</f>
      </c>
      <c r="Z55" s="217">
        <f>IF($A55=0,"",IF(VLOOKUP(HjArk!$D23,Tab1,26,FALSE)=0,"",VLOOKUP(HjArk!$D23,Tab1,26,FALSE)))</f>
      </c>
      <c r="AA55" s="217">
        <f>IF($A55=0,"",IF(VLOOKUP(HjArk!$D23,Tab1,27,FALSE)=0,"",VLOOKUP(HjArk!$D23,Tab1,27,FALSE)))</f>
      </c>
      <c r="AB55" s="217">
        <f>IF($A55=0,"",IF(VLOOKUP(HjArk!$D23,Tab1,28,FALSE)=0,"",VLOOKUP(HjArk!$D23,Tab1,28,FALSE)))</f>
      </c>
      <c r="AC55" s="217">
        <f>IF($A55=0,"",IF(VLOOKUP(HjArk!$D23,Tab1,29,FALSE)=0,"",VLOOKUP(HjArk!$D23,Tab1,29,FALSE)))</f>
      </c>
      <c r="AD55" s="217">
        <f>IF($A55=0,"",IF(VLOOKUP(HjArk!$D23,Tab1,30,FALSE)=0,"",VLOOKUP(HjArk!$D23,Tab1,30,FALSE)))</f>
      </c>
      <c r="AE55" s="217">
        <f>IF($A55=0,"",IF(VLOOKUP(HjArk!$D23,Tab1,31,FALSE)=0,"",VLOOKUP(HjArk!$D23,Tab1,31,FALSE)))</f>
      </c>
      <c r="AF55" s="217">
        <f>IF($A55=0,"",IF(VLOOKUP(HjArk!$D23,Tab1,32,FALSE)=0,"",VLOOKUP(HjArk!$D23,Tab1,32,FALSE)))</f>
      </c>
      <c r="AG55" s="217">
        <f>IF($A55=0,"",IF(VLOOKUP(HjArk!$D23,Tab1,33,FALSE)=0,"",VLOOKUP(HjArk!$D23,Tab1,33,FALSE)))</f>
      </c>
      <c r="AH55" s="217">
        <f>IF($A55=0,"",IF(VLOOKUP(HjArk!$D23,Tab1,34,FALSE)=0,"",VLOOKUP(HjArk!$D23,Tab1,34,FALSE)))</f>
      </c>
      <c r="AI55" s="217">
        <f>IF($A55=0,"",IF(VLOOKUP(HjArk!$D23,Tab1,35,FALSE)=0,"",VLOOKUP(HjArk!$D23,Tab1,35,FALSE)))</f>
      </c>
      <c r="AJ55" s="217">
        <f>IF($A55=0,"",IF(VLOOKUP(HjArk!$D23,Tab1,36,FALSE)=0,"",VLOOKUP(HjArk!$D23,Tab1,36,FALSE)))</f>
      </c>
      <c r="AK55" s="217">
        <f>IF($A55=0,"",IF(VLOOKUP(HjArk!$D23,Tab1,37,FALSE)=0,"",VLOOKUP(HjArk!$D23,Tab1,37,FALSE)))</f>
      </c>
      <c r="AL55" s="217">
        <f>IF($A55=0,"",IF(VLOOKUP(HjArk!$D23,Tab1,38,FALSE)=0,"",VLOOKUP(HjArk!$D23,Tab1,38,FALSE)))</f>
      </c>
      <c r="AM55" s="217">
        <f>IF($A55=0,"",IF(VLOOKUP(HjArk!$D23,Tab1,39,FALSE)=0,"",VLOOKUP(HjArk!$D23,Tab1,39,FALSE)))</f>
      </c>
      <c r="AN55" s="217">
        <f>IF($A55=0,"",IF(VLOOKUP(HjArk!$D23,Tab1,40,FALSE)=0,"",VLOOKUP(HjArk!$D23,Tab1,40,FALSE)))</f>
      </c>
      <c r="AO55" s="217">
        <f>IF($A55=0,"",IF(VLOOKUP(HjArk!$D23,Tab1,41,FALSE)=0,"",VLOOKUP(HjArk!$D23,Tab1,41,FALSE)))</f>
      </c>
      <c r="AP55" s="217">
        <f>IF($A55=0,"",IF(VLOOKUP(HjArk!$D23,Tab1,42,FALSE)=0,"",VLOOKUP(HjArk!$D23,Tab1,42,FALSE)))</f>
      </c>
      <c r="AQ55" s="217">
        <f>IF($A55=0,"",IF(VLOOKUP(HjArk!$D23,Tab1,43,FALSE)=0,"",VLOOKUP(HjArk!$D23,Tab1,43,FALSE)))</f>
      </c>
      <c r="AR55" s="217">
        <f>IF($A55=0,"",IF(VLOOKUP(HjArk!$D23,Tab1,44,FALSE)=0,"",VLOOKUP(HjArk!$D23,Tab1,44,FALSE)))</f>
      </c>
      <c r="AS55" s="217">
        <f>IF($A55=0,"",IF(VLOOKUP(HjArk!$D23,Tab1,45,FALSE)=0,"",VLOOKUP(HjArk!$D23,Tab1,45,FALSE)))</f>
      </c>
      <c r="AT55" s="217">
        <f>IF($A55=0,"",IF(VLOOKUP(HjArk!$D23,Tab1,46,FALSE)=0,"",VLOOKUP(HjArk!$D23,Tab1,46,FALSE)))</f>
      </c>
      <c r="AU55" s="217">
        <f>IF($A55=0,"",IF(VLOOKUP(HjArk!$D23,Tab1,47,FALSE)=0,"",VLOOKUP(HjArk!$D23,Tab1,47,FALSE)))</f>
      </c>
      <c r="AV55" s="217">
        <f>IF($A55=0,"",IF(VLOOKUP(HjArk!$D23,Tab1,48,FALSE)=0,"",VLOOKUP(HjArk!$D23,Tab1,48,FALSE)))</f>
      </c>
      <c r="AW55" s="217">
        <f>IF($A55=0,"",IF(VLOOKUP(HjArk!$D23,Tab1,49,FALSE)=0,"",VLOOKUP(HjArk!$D23,Tab1,49,FALSE)))</f>
      </c>
      <c r="AX55" s="217">
        <f>IF($A55=0,"",IF(VLOOKUP(HjArk!$D23,Tab1,50,FALSE)=0,"",VLOOKUP(HjArk!$D23,Tab1,50,FALSE)))</f>
      </c>
      <c r="AY55" s="217">
        <f>IF($A55=0,"",IF(VLOOKUP(HjArk!$D23,Tab1,51,FALSE)=0,"",VLOOKUP(HjArk!$D23,Tab1,51,FALSE)))</f>
      </c>
      <c r="AZ55" s="217">
        <f>IF($A55=0,"",IF(VLOOKUP(HjArk!$D23,Tab1,52,FALSE)=0,"",VLOOKUP(HjArk!$D23,Tab1,52,FALSE)))</f>
      </c>
      <c r="BA55" s="217">
        <f>IF($A55=0,"",IF(VLOOKUP(HjArk!$D23,Tab1,53,FALSE)=0,"",VLOOKUP(HjArk!$D23,Tab1,53,FALSE)))</f>
      </c>
      <c r="BB55" s="217">
        <f>IF($A55=0,"",IF(VLOOKUP(HjArk!$D23,Tab1,54,FALSE)=0,"",VLOOKUP(HjArk!$D23,Tab1,54,FALSE)))</f>
      </c>
      <c r="BC55" s="217">
        <f>IF($A55=0,"",IF(VLOOKUP(HjArk!$D23,Tab1,55,FALSE)=0,"",VLOOKUP(HjArk!$D23,Tab1,55,FALSE)))</f>
      </c>
      <c r="BD55" s="217">
        <f>IF($A55=0,"",IF(VLOOKUP(HjArk!$D23,Tab1,56,FALSE)=0,"",VLOOKUP(HjArk!$D23,Tab1,56,FALSE)))</f>
      </c>
      <c r="BE55" s="217">
        <f>IF($A55=0,"",IF(VLOOKUP(HjArk!$D23,Tab1,57,FALSE)=0,"",VLOOKUP(HjArk!$D23,Tab1,57,FALSE)))</f>
      </c>
      <c r="BF55" s="217">
        <f>IF($A55=0,"",IF(VLOOKUP(HjArk!$D23,Tab1,58,FALSE)=0,"",VLOOKUP(HjArk!$D23,Tab1,58,FALSE)))</f>
      </c>
      <c r="BG55" s="217">
        <f>IF($A55=0,"",IF(VLOOKUP(HjArk!$D23,Tab1,59,FALSE)=0,"",VLOOKUP(HjArk!$D23,Tab1,59,FALSE)))</f>
      </c>
      <c r="BH55" s="217">
        <f>IF($A55=0,"",IF(VLOOKUP(HjArk!$D23,Tab1,60,FALSE)=0,"",VLOOKUP(HjArk!$D23,Tab1,60,FALSE)))</f>
      </c>
      <c r="BI55" s="217">
        <f>IF($A55=0,"",IF(VLOOKUP(HjArk!$D23,Tab1,61,FALSE)=0,"",VLOOKUP(HjArk!$D23,Tab1,61,FALSE)))</f>
      </c>
      <c r="BJ55" s="217"/>
      <c r="BK55" s="217"/>
      <c r="BL55" s="218"/>
    </row>
    <row r="56" spans="1:64" ht="12.75">
      <c r="A56" s="132">
        <f>HjArk!B24</f>
        <v>0</v>
      </c>
      <c r="B56" s="216">
        <f>IF($A56=0,"",IF(VLOOKUP(HjArk!$D24,Tab1,2,FALSE)=0,"",VLOOKUP(HjArk!$D24,Tab1,2,FALSE)))</f>
      </c>
      <c r="C56" s="217">
        <f>IF($A56=0,"",IF(VLOOKUP(HjArk!$D24,Tab1,3,FALSE)=0,"",VLOOKUP(HjArk!$D24,Tab1,3,FALSE)))</f>
      </c>
      <c r="D56" s="217">
        <f>IF($A56=0,"",IF(VLOOKUP(HjArk!$D24,Tab1,4,FALSE)=0,"",VLOOKUP(HjArk!$D24,Tab1,4,FALSE)))</f>
      </c>
      <c r="E56" s="217">
        <f>IF($A56=0,"",IF(VLOOKUP(HjArk!$D24,Tab1,5,FALSE)=0,"",VLOOKUP(HjArk!$D24,Tab1,5,FALSE)))</f>
      </c>
      <c r="F56" s="217">
        <f>IF($A56=0,"",IF(VLOOKUP(HjArk!$D24,Tab1,6,FALSE)=0,"",VLOOKUP(HjArk!$D24,Tab1,6,FALSE)))</f>
      </c>
      <c r="G56" s="217">
        <f>IF($A56=0,"",IF(VLOOKUP(HjArk!$D24,Tab1,7,FALSE)=0,"",VLOOKUP(HjArk!$D24,Tab1,7,FALSE)))</f>
      </c>
      <c r="H56" s="217">
        <f>IF($A56=0,"",IF(VLOOKUP(HjArk!$D24,Tab1,8,FALSE)=0,"",VLOOKUP(HjArk!$D24,Tab1,8,FALSE)))</f>
      </c>
      <c r="I56" s="217">
        <f>IF($A56=0,"",IF(VLOOKUP(HjArk!$D24,Tab1,9,FALSE)=0,"",VLOOKUP(HjArk!$D24,Tab1,9,FALSE)))</f>
      </c>
      <c r="J56" s="217">
        <f>IF($A56=0,"",IF(VLOOKUP(HjArk!$D24,Tab1,10,FALSE)=0,"",VLOOKUP(HjArk!$D24,Tab1,10,FALSE)))</f>
      </c>
      <c r="K56" s="217">
        <f>IF($A56=0,"",IF(VLOOKUP(HjArk!$D24,Tab1,11,FALSE)=0,"",VLOOKUP(HjArk!$D24,Tab1,11,FALSE)))</f>
      </c>
      <c r="L56" s="217">
        <f>IF($A56=0,"",IF(VLOOKUP(HjArk!$D24,Tab1,12,FALSE)=0,"",VLOOKUP(HjArk!$D24,Tab1,12,FALSE)))</f>
      </c>
      <c r="M56" s="217">
        <f>IF($A56=0,"",IF(VLOOKUP(HjArk!$D24,Tab1,13,FALSE)=0,"",VLOOKUP(HjArk!$D24,Tab1,13,FALSE)))</f>
      </c>
      <c r="N56" s="217">
        <f>IF($A56=0,"",IF(VLOOKUP(HjArk!$D24,Tab1,14,FALSE)=0,"",VLOOKUP(HjArk!$D24,Tab1,14,FALSE)))</f>
      </c>
      <c r="O56" s="217">
        <f>IF($A56=0,"",IF(VLOOKUP(HjArk!$D24,Tab1,15,FALSE)=0,"",VLOOKUP(HjArk!$D24,Tab1,15,FALSE)))</f>
      </c>
      <c r="P56" s="217">
        <f>IF($A56=0,"",IF(VLOOKUP(HjArk!$D24,Tab1,16,FALSE)=0,"",VLOOKUP(HjArk!$D24,Tab1,16,FALSE)))</f>
      </c>
      <c r="Q56" s="217">
        <f>IF($A56=0,"",IF(VLOOKUP(HjArk!$D24,Tab1,17,FALSE)=0,"",VLOOKUP(HjArk!$D24,Tab1,17,FALSE)))</f>
      </c>
      <c r="R56" s="217">
        <f>IF($A56=0,"",IF(VLOOKUP(HjArk!$D24,Tab1,18,FALSE)=0,"",VLOOKUP(HjArk!$D24,Tab1,18,FALSE)))</f>
      </c>
      <c r="S56" s="217">
        <f>IF($A56=0,"",IF(VLOOKUP(HjArk!$D24,Tab1,19,FALSE)=0,"",VLOOKUP(HjArk!$D24,Tab1,19,FALSE)))</f>
      </c>
      <c r="T56" s="217">
        <f>IF($A56=0,"",IF(VLOOKUP(HjArk!$D24,Tab1,20,FALSE)=0,"",VLOOKUP(HjArk!$D24,Tab1,20,FALSE)))</f>
      </c>
      <c r="U56" s="217">
        <f>IF($A56=0,"",IF(VLOOKUP(HjArk!$D24,Tab1,21,FALSE)=0,"",VLOOKUP(HjArk!$D24,Tab1,21,FALSE)))</f>
      </c>
      <c r="V56" s="217">
        <f>IF($A56=0,"",IF(VLOOKUP(HjArk!$D24,Tab1,22,FALSE)=0,"",VLOOKUP(HjArk!$D24,Tab1,22,FALSE)))</f>
      </c>
      <c r="W56" s="217">
        <f>IF($A56=0,"",IF(VLOOKUP(HjArk!$D24,Tab1,23,FALSE)=0,"",VLOOKUP(HjArk!$D24,Tab1,23,FALSE)))</f>
      </c>
      <c r="X56" s="217">
        <f>IF($A56=0,"",IF(VLOOKUP(HjArk!$D24,Tab1,24,FALSE)=0,"",VLOOKUP(HjArk!$D24,Tab1,24,FALSE)))</f>
      </c>
      <c r="Y56" s="217">
        <f>IF($A56=0,"",IF(VLOOKUP(HjArk!$D24,Tab1,25,FALSE)=0,"",VLOOKUP(HjArk!$D24,Tab1,25,FALSE)))</f>
      </c>
      <c r="Z56" s="217">
        <f>IF($A56=0,"",IF(VLOOKUP(HjArk!$D24,Tab1,26,FALSE)=0,"",VLOOKUP(HjArk!$D24,Tab1,26,FALSE)))</f>
      </c>
      <c r="AA56" s="217">
        <f>IF($A56=0,"",IF(VLOOKUP(HjArk!$D24,Tab1,27,FALSE)=0,"",VLOOKUP(HjArk!$D24,Tab1,27,FALSE)))</f>
      </c>
      <c r="AB56" s="217">
        <f>IF($A56=0,"",IF(VLOOKUP(HjArk!$D24,Tab1,28,FALSE)=0,"",VLOOKUP(HjArk!$D24,Tab1,28,FALSE)))</f>
      </c>
      <c r="AC56" s="217">
        <f>IF($A56=0,"",IF(VLOOKUP(HjArk!$D24,Tab1,29,FALSE)=0,"",VLOOKUP(HjArk!$D24,Tab1,29,FALSE)))</f>
      </c>
      <c r="AD56" s="217">
        <f>IF($A56=0,"",IF(VLOOKUP(HjArk!$D24,Tab1,30,FALSE)=0,"",VLOOKUP(HjArk!$D24,Tab1,30,FALSE)))</f>
      </c>
      <c r="AE56" s="217">
        <f>IF($A56=0,"",IF(VLOOKUP(HjArk!$D24,Tab1,31,FALSE)=0,"",VLOOKUP(HjArk!$D24,Tab1,31,FALSE)))</f>
      </c>
      <c r="AF56" s="217">
        <f>IF($A56=0,"",IF(VLOOKUP(HjArk!$D24,Tab1,32,FALSE)=0,"",VLOOKUP(HjArk!$D24,Tab1,32,FALSE)))</f>
      </c>
      <c r="AG56" s="217">
        <f>IF($A56=0,"",IF(VLOOKUP(HjArk!$D24,Tab1,33,FALSE)=0,"",VLOOKUP(HjArk!$D24,Tab1,33,FALSE)))</f>
      </c>
      <c r="AH56" s="217">
        <f>IF($A56=0,"",IF(VLOOKUP(HjArk!$D24,Tab1,34,FALSE)=0,"",VLOOKUP(HjArk!$D24,Tab1,34,FALSE)))</f>
      </c>
      <c r="AI56" s="217">
        <f>IF($A56=0,"",IF(VLOOKUP(HjArk!$D24,Tab1,35,FALSE)=0,"",VLOOKUP(HjArk!$D24,Tab1,35,FALSE)))</f>
      </c>
      <c r="AJ56" s="217">
        <f>IF($A56=0,"",IF(VLOOKUP(HjArk!$D24,Tab1,36,FALSE)=0,"",VLOOKUP(HjArk!$D24,Tab1,36,FALSE)))</f>
      </c>
      <c r="AK56" s="217">
        <f>IF($A56=0,"",IF(VLOOKUP(HjArk!$D24,Tab1,37,FALSE)=0,"",VLOOKUP(HjArk!$D24,Tab1,37,FALSE)))</f>
      </c>
      <c r="AL56" s="217">
        <f>IF($A56=0,"",IF(VLOOKUP(HjArk!$D24,Tab1,38,FALSE)=0,"",VLOOKUP(HjArk!$D24,Tab1,38,FALSE)))</f>
      </c>
      <c r="AM56" s="217">
        <f>IF($A56=0,"",IF(VLOOKUP(HjArk!$D24,Tab1,39,FALSE)=0,"",VLOOKUP(HjArk!$D24,Tab1,39,FALSE)))</f>
      </c>
      <c r="AN56" s="217">
        <f>IF($A56=0,"",IF(VLOOKUP(HjArk!$D24,Tab1,40,FALSE)=0,"",VLOOKUP(HjArk!$D24,Tab1,40,FALSE)))</f>
      </c>
      <c r="AO56" s="217">
        <f>IF($A56=0,"",IF(VLOOKUP(HjArk!$D24,Tab1,41,FALSE)=0,"",VLOOKUP(HjArk!$D24,Tab1,41,FALSE)))</f>
      </c>
      <c r="AP56" s="217">
        <f>IF($A56=0,"",IF(VLOOKUP(HjArk!$D24,Tab1,42,FALSE)=0,"",VLOOKUP(HjArk!$D24,Tab1,42,FALSE)))</f>
      </c>
      <c r="AQ56" s="217">
        <f>IF($A56=0,"",IF(VLOOKUP(HjArk!$D24,Tab1,43,FALSE)=0,"",VLOOKUP(HjArk!$D24,Tab1,43,FALSE)))</f>
      </c>
      <c r="AR56" s="217">
        <f>IF($A56=0,"",IF(VLOOKUP(HjArk!$D24,Tab1,44,FALSE)=0,"",VLOOKUP(HjArk!$D24,Tab1,44,FALSE)))</f>
      </c>
      <c r="AS56" s="217">
        <f>IF($A56=0,"",IF(VLOOKUP(HjArk!$D24,Tab1,45,FALSE)=0,"",VLOOKUP(HjArk!$D24,Tab1,45,FALSE)))</f>
      </c>
      <c r="AT56" s="217">
        <f>IF($A56=0,"",IF(VLOOKUP(HjArk!$D24,Tab1,46,FALSE)=0,"",VLOOKUP(HjArk!$D24,Tab1,46,FALSE)))</f>
      </c>
      <c r="AU56" s="217">
        <f>IF($A56=0,"",IF(VLOOKUP(HjArk!$D24,Tab1,47,FALSE)=0,"",VLOOKUP(HjArk!$D24,Tab1,47,FALSE)))</f>
      </c>
      <c r="AV56" s="217">
        <f>IF($A56=0,"",IF(VLOOKUP(HjArk!$D24,Tab1,48,FALSE)=0,"",VLOOKUP(HjArk!$D24,Tab1,48,FALSE)))</f>
      </c>
      <c r="AW56" s="217">
        <f>IF($A56=0,"",IF(VLOOKUP(HjArk!$D24,Tab1,49,FALSE)=0,"",VLOOKUP(HjArk!$D24,Tab1,49,FALSE)))</f>
      </c>
      <c r="AX56" s="217">
        <f>IF($A56=0,"",IF(VLOOKUP(HjArk!$D24,Tab1,50,FALSE)=0,"",VLOOKUP(HjArk!$D24,Tab1,50,FALSE)))</f>
      </c>
      <c r="AY56" s="217">
        <f>IF($A56=0,"",IF(VLOOKUP(HjArk!$D24,Tab1,51,FALSE)=0,"",VLOOKUP(HjArk!$D24,Tab1,51,FALSE)))</f>
      </c>
      <c r="AZ56" s="217">
        <f>IF($A56=0,"",IF(VLOOKUP(HjArk!$D24,Tab1,52,FALSE)=0,"",VLOOKUP(HjArk!$D24,Tab1,52,FALSE)))</f>
      </c>
      <c r="BA56" s="217">
        <f>IF($A56=0,"",IF(VLOOKUP(HjArk!$D24,Tab1,53,FALSE)=0,"",VLOOKUP(HjArk!$D24,Tab1,53,FALSE)))</f>
      </c>
      <c r="BB56" s="217">
        <f>IF($A56=0,"",IF(VLOOKUP(HjArk!$D24,Tab1,54,FALSE)=0,"",VLOOKUP(HjArk!$D24,Tab1,54,FALSE)))</f>
      </c>
      <c r="BC56" s="217">
        <f>IF($A56=0,"",IF(VLOOKUP(HjArk!$D24,Tab1,55,FALSE)=0,"",VLOOKUP(HjArk!$D24,Tab1,55,FALSE)))</f>
      </c>
      <c r="BD56" s="217">
        <f>IF($A56=0,"",IF(VLOOKUP(HjArk!$D24,Tab1,56,FALSE)=0,"",VLOOKUP(HjArk!$D24,Tab1,56,FALSE)))</f>
      </c>
      <c r="BE56" s="217">
        <f>IF($A56=0,"",IF(VLOOKUP(HjArk!$D24,Tab1,57,FALSE)=0,"",VLOOKUP(HjArk!$D24,Tab1,57,FALSE)))</f>
      </c>
      <c r="BF56" s="217">
        <f>IF($A56=0,"",IF(VLOOKUP(HjArk!$D24,Tab1,58,FALSE)=0,"",VLOOKUP(HjArk!$D24,Tab1,58,FALSE)))</f>
      </c>
      <c r="BG56" s="217">
        <f>IF($A56=0,"",IF(VLOOKUP(HjArk!$D24,Tab1,59,FALSE)=0,"",VLOOKUP(HjArk!$D24,Tab1,59,FALSE)))</f>
      </c>
      <c r="BH56" s="217">
        <f>IF($A56=0,"",IF(VLOOKUP(HjArk!$D24,Tab1,60,FALSE)=0,"",VLOOKUP(HjArk!$D24,Tab1,60,FALSE)))</f>
      </c>
      <c r="BI56" s="217">
        <f>IF($A56=0,"",IF(VLOOKUP(HjArk!$D24,Tab1,61,FALSE)=0,"",VLOOKUP(HjArk!$D24,Tab1,61,FALSE)))</f>
      </c>
      <c r="BJ56" s="217"/>
      <c r="BK56" s="217"/>
      <c r="BL56" s="218"/>
    </row>
    <row r="57" spans="1:64" ht="12.75">
      <c r="A57" s="132">
        <f>HjArk!B25</f>
        <v>0</v>
      </c>
      <c r="B57" s="216">
        <f>IF($A57=0,"",IF(VLOOKUP(HjArk!$D25,Tab1,2,FALSE)=0,"",VLOOKUP(HjArk!$D25,Tab1,2,FALSE)))</f>
      </c>
      <c r="C57" s="217">
        <f>IF($A57=0,"",IF(VLOOKUP(HjArk!$D25,Tab1,3,FALSE)=0,"",VLOOKUP(HjArk!$D25,Tab1,3,FALSE)))</f>
      </c>
      <c r="D57" s="217">
        <f>IF($A57=0,"",IF(VLOOKUP(HjArk!$D25,Tab1,4,FALSE)=0,"",VLOOKUP(HjArk!$D25,Tab1,4,FALSE)))</f>
      </c>
      <c r="E57" s="217">
        <f>IF($A57=0,"",IF(VLOOKUP(HjArk!$D25,Tab1,5,FALSE)=0,"",VLOOKUP(HjArk!$D25,Tab1,5,FALSE)))</f>
      </c>
      <c r="F57" s="217">
        <f>IF($A57=0,"",IF(VLOOKUP(HjArk!$D25,Tab1,6,FALSE)=0,"",VLOOKUP(HjArk!$D25,Tab1,6,FALSE)))</f>
      </c>
      <c r="G57" s="217">
        <f>IF($A57=0,"",IF(VLOOKUP(HjArk!$D25,Tab1,7,FALSE)=0,"",VLOOKUP(HjArk!$D25,Tab1,7,FALSE)))</f>
      </c>
      <c r="H57" s="217">
        <f>IF($A57=0,"",IF(VLOOKUP(HjArk!$D25,Tab1,8,FALSE)=0,"",VLOOKUP(HjArk!$D25,Tab1,8,FALSE)))</f>
      </c>
      <c r="I57" s="217">
        <f>IF($A57=0,"",IF(VLOOKUP(HjArk!$D25,Tab1,9,FALSE)=0,"",VLOOKUP(HjArk!$D25,Tab1,9,FALSE)))</f>
      </c>
      <c r="J57" s="217">
        <f>IF($A57=0,"",IF(VLOOKUP(HjArk!$D25,Tab1,10,FALSE)=0,"",VLOOKUP(HjArk!$D25,Tab1,10,FALSE)))</f>
      </c>
      <c r="K57" s="217">
        <f>IF($A57=0,"",IF(VLOOKUP(HjArk!$D25,Tab1,11,FALSE)=0,"",VLOOKUP(HjArk!$D25,Tab1,11,FALSE)))</f>
      </c>
      <c r="L57" s="217">
        <f>IF($A57=0,"",IF(VLOOKUP(HjArk!$D25,Tab1,12,FALSE)=0,"",VLOOKUP(HjArk!$D25,Tab1,12,FALSE)))</f>
      </c>
      <c r="M57" s="217">
        <f>IF($A57=0,"",IF(VLOOKUP(HjArk!$D25,Tab1,13,FALSE)=0,"",VLOOKUP(HjArk!$D25,Tab1,13,FALSE)))</f>
      </c>
      <c r="N57" s="217">
        <f>IF($A57=0,"",IF(VLOOKUP(HjArk!$D25,Tab1,14,FALSE)=0,"",VLOOKUP(HjArk!$D25,Tab1,14,FALSE)))</f>
      </c>
      <c r="O57" s="217">
        <f>IF($A57=0,"",IF(VLOOKUP(HjArk!$D25,Tab1,15,FALSE)=0,"",VLOOKUP(HjArk!$D25,Tab1,15,FALSE)))</f>
      </c>
      <c r="P57" s="217">
        <f>IF($A57=0,"",IF(VLOOKUP(HjArk!$D25,Tab1,16,FALSE)=0,"",VLOOKUP(HjArk!$D25,Tab1,16,FALSE)))</f>
      </c>
      <c r="Q57" s="217">
        <f>IF($A57=0,"",IF(VLOOKUP(HjArk!$D25,Tab1,17,FALSE)=0,"",VLOOKUP(HjArk!$D25,Tab1,17,FALSE)))</f>
      </c>
      <c r="R57" s="217">
        <f>IF($A57=0,"",IF(VLOOKUP(HjArk!$D25,Tab1,18,FALSE)=0,"",VLOOKUP(HjArk!$D25,Tab1,18,FALSE)))</f>
      </c>
      <c r="S57" s="217">
        <f>IF($A57=0,"",IF(VLOOKUP(HjArk!$D25,Tab1,19,FALSE)=0,"",VLOOKUP(HjArk!$D25,Tab1,19,FALSE)))</f>
      </c>
      <c r="T57" s="217">
        <f>IF($A57=0,"",IF(VLOOKUP(HjArk!$D25,Tab1,20,FALSE)=0,"",VLOOKUP(HjArk!$D25,Tab1,20,FALSE)))</f>
      </c>
      <c r="U57" s="217">
        <f>IF($A57=0,"",IF(VLOOKUP(HjArk!$D25,Tab1,21,FALSE)=0,"",VLOOKUP(HjArk!$D25,Tab1,21,FALSE)))</f>
      </c>
      <c r="V57" s="217">
        <f>IF($A57=0,"",IF(VLOOKUP(HjArk!$D25,Tab1,22,FALSE)=0,"",VLOOKUP(HjArk!$D25,Tab1,22,FALSE)))</f>
      </c>
      <c r="W57" s="217">
        <f>IF($A57=0,"",IF(VLOOKUP(HjArk!$D25,Tab1,23,FALSE)=0,"",VLOOKUP(HjArk!$D25,Tab1,23,FALSE)))</f>
      </c>
      <c r="X57" s="217">
        <f>IF($A57=0,"",IF(VLOOKUP(HjArk!$D25,Tab1,24,FALSE)=0,"",VLOOKUP(HjArk!$D25,Tab1,24,FALSE)))</f>
      </c>
      <c r="Y57" s="217">
        <f>IF($A57=0,"",IF(VLOOKUP(HjArk!$D25,Tab1,25,FALSE)=0,"",VLOOKUP(HjArk!$D25,Tab1,25,FALSE)))</f>
      </c>
      <c r="Z57" s="217">
        <f>IF($A57=0,"",IF(VLOOKUP(HjArk!$D25,Tab1,26,FALSE)=0,"",VLOOKUP(HjArk!$D25,Tab1,26,FALSE)))</f>
      </c>
      <c r="AA57" s="217">
        <f>IF($A57=0,"",IF(VLOOKUP(HjArk!$D25,Tab1,27,FALSE)=0,"",VLOOKUP(HjArk!$D25,Tab1,27,FALSE)))</f>
      </c>
      <c r="AB57" s="217">
        <f>IF($A57=0,"",IF(VLOOKUP(HjArk!$D25,Tab1,28,FALSE)=0,"",VLOOKUP(HjArk!$D25,Tab1,28,FALSE)))</f>
      </c>
      <c r="AC57" s="217">
        <f>IF($A57=0,"",IF(VLOOKUP(HjArk!$D25,Tab1,29,FALSE)=0,"",VLOOKUP(HjArk!$D25,Tab1,29,FALSE)))</f>
      </c>
      <c r="AD57" s="217">
        <f>IF($A57=0,"",IF(VLOOKUP(HjArk!$D25,Tab1,30,FALSE)=0,"",VLOOKUP(HjArk!$D25,Tab1,30,FALSE)))</f>
      </c>
      <c r="AE57" s="217">
        <f>IF($A57=0,"",IF(VLOOKUP(HjArk!$D25,Tab1,31,FALSE)=0,"",VLOOKUP(HjArk!$D25,Tab1,31,FALSE)))</f>
      </c>
      <c r="AF57" s="217">
        <f>IF($A57=0,"",IF(VLOOKUP(HjArk!$D25,Tab1,32,FALSE)=0,"",VLOOKUP(HjArk!$D25,Tab1,32,FALSE)))</f>
      </c>
      <c r="AG57" s="217">
        <f>IF($A57=0,"",IF(VLOOKUP(HjArk!$D25,Tab1,33,FALSE)=0,"",VLOOKUP(HjArk!$D25,Tab1,33,FALSE)))</f>
      </c>
      <c r="AH57" s="217">
        <f>IF($A57=0,"",IF(VLOOKUP(HjArk!$D25,Tab1,34,FALSE)=0,"",VLOOKUP(HjArk!$D25,Tab1,34,FALSE)))</f>
      </c>
      <c r="AI57" s="217">
        <f>IF($A57=0,"",IF(VLOOKUP(HjArk!$D25,Tab1,35,FALSE)=0,"",VLOOKUP(HjArk!$D25,Tab1,35,FALSE)))</f>
      </c>
      <c r="AJ57" s="217">
        <f>IF($A57=0,"",IF(VLOOKUP(HjArk!$D25,Tab1,36,FALSE)=0,"",VLOOKUP(HjArk!$D25,Tab1,36,FALSE)))</f>
      </c>
      <c r="AK57" s="217">
        <f>IF($A57=0,"",IF(VLOOKUP(HjArk!$D25,Tab1,37,FALSE)=0,"",VLOOKUP(HjArk!$D25,Tab1,37,FALSE)))</f>
      </c>
      <c r="AL57" s="217">
        <f>IF($A57=0,"",IF(VLOOKUP(HjArk!$D25,Tab1,38,FALSE)=0,"",VLOOKUP(HjArk!$D25,Tab1,38,FALSE)))</f>
      </c>
      <c r="AM57" s="217">
        <f>IF($A57=0,"",IF(VLOOKUP(HjArk!$D25,Tab1,39,FALSE)=0,"",VLOOKUP(HjArk!$D25,Tab1,39,FALSE)))</f>
      </c>
      <c r="AN57" s="217">
        <f>IF($A57=0,"",IF(VLOOKUP(HjArk!$D25,Tab1,40,FALSE)=0,"",VLOOKUP(HjArk!$D25,Tab1,40,FALSE)))</f>
      </c>
      <c r="AO57" s="217">
        <f>IF($A57=0,"",IF(VLOOKUP(HjArk!$D25,Tab1,41,FALSE)=0,"",VLOOKUP(HjArk!$D25,Tab1,41,FALSE)))</f>
      </c>
      <c r="AP57" s="217">
        <f>IF($A57=0,"",IF(VLOOKUP(HjArk!$D25,Tab1,42,FALSE)=0,"",VLOOKUP(HjArk!$D25,Tab1,42,FALSE)))</f>
      </c>
      <c r="AQ57" s="217">
        <f>IF($A57=0,"",IF(VLOOKUP(HjArk!$D25,Tab1,43,FALSE)=0,"",VLOOKUP(HjArk!$D25,Tab1,43,FALSE)))</f>
      </c>
      <c r="AR57" s="217">
        <f>IF($A57=0,"",IF(VLOOKUP(HjArk!$D25,Tab1,44,FALSE)=0,"",VLOOKUP(HjArk!$D25,Tab1,44,FALSE)))</f>
      </c>
      <c r="AS57" s="217">
        <f>IF($A57=0,"",IF(VLOOKUP(HjArk!$D25,Tab1,45,FALSE)=0,"",VLOOKUP(HjArk!$D25,Tab1,45,FALSE)))</f>
      </c>
      <c r="AT57" s="217">
        <f>IF($A57=0,"",IF(VLOOKUP(HjArk!$D25,Tab1,46,FALSE)=0,"",VLOOKUP(HjArk!$D25,Tab1,46,FALSE)))</f>
      </c>
      <c r="AU57" s="217">
        <f>IF($A57=0,"",IF(VLOOKUP(HjArk!$D25,Tab1,47,FALSE)=0,"",VLOOKUP(HjArk!$D25,Tab1,47,FALSE)))</f>
      </c>
      <c r="AV57" s="217">
        <f>IF($A57=0,"",IF(VLOOKUP(HjArk!$D25,Tab1,48,FALSE)=0,"",VLOOKUP(HjArk!$D25,Tab1,48,FALSE)))</f>
      </c>
      <c r="AW57" s="217">
        <f>IF($A57=0,"",IF(VLOOKUP(HjArk!$D25,Tab1,49,FALSE)=0,"",VLOOKUP(HjArk!$D25,Tab1,49,FALSE)))</f>
      </c>
      <c r="AX57" s="217">
        <f>IF($A57=0,"",IF(VLOOKUP(HjArk!$D25,Tab1,50,FALSE)=0,"",VLOOKUP(HjArk!$D25,Tab1,50,FALSE)))</f>
      </c>
      <c r="AY57" s="217">
        <f>IF($A57=0,"",IF(VLOOKUP(HjArk!$D25,Tab1,51,FALSE)=0,"",VLOOKUP(HjArk!$D25,Tab1,51,FALSE)))</f>
      </c>
      <c r="AZ57" s="217">
        <f>IF($A57=0,"",IF(VLOOKUP(HjArk!$D25,Tab1,52,FALSE)=0,"",VLOOKUP(HjArk!$D25,Tab1,52,FALSE)))</f>
      </c>
      <c r="BA57" s="217">
        <f>IF($A57=0,"",IF(VLOOKUP(HjArk!$D25,Tab1,53,FALSE)=0,"",VLOOKUP(HjArk!$D25,Tab1,53,FALSE)))</f>
      </c>
      <c r="BB57" s="217">
        <f>IF($A57=0,"",IF(VLOOKUP(HjArk!$D25,Tab1,54,FALSE)=0,"",VLOOKUP(HjArk!$D25,Tab1,54,FALSE)))</f>
      </c>
      <c r="BC57" s="217">
        <f>IF($A57=0,"",IF(VLOOKUP(HjArk!$D25,Tab1,55,FALSE)=0,"",VLOOKUP(HjArk!$D25,Tab1,55,FALSE)))</f>
      </c>
      <c r="BD57" s="217">
        <f>IF($A57=0,"",IF(VLOOKUP(HjArk!$D25,Tab1,56,FALSE)=0,"",VLOOKUP(HjArk!$D25,Tab1,56,FALSE)))</f>
      </c>
      <c r="BE57" s="217">
        <f>IF($A57=0,"",IF(VLOOKUP(HjArk!$D25,Tab1,57,FALSE)=0,"",VLOOKUP(HjArk!$D25,Tab1,57,FALSE)))</f>
      </c>
      <c r="BF57" s="217">
        <f>IF($A57=0,"",IF(VLOOKUP(HjArk!$D25,Tab1,58,FALSE)=0,"",VLOOKUP(HjArk!$D25,Tab1,58,FALSE)))</f>
      </c>
      <c r="BG57" s="217">
        <f>IF($A57=0,"",IF(VLOOKUP(HjArk!$D25,Tab1,59,FALSE)=0,"",VLOOKUP(HjArk!$D25,Tab1,59,FALSE)))</f>
      </c>
      <c r="BH57" s="217">
        <f>IF($A57=0,"",IF(VLOOKUP(HjArk!$D25,Tab1,60,FALSE)=0,"",VLOOKUP(HjArk!$D25,Tab1,60,FALSE)))</f>
      </c>
      <c r="BI57" s="217">
        <f>IF($A57=0,"",IF(VLOOKUP(HjArk!$D25,Tab1,61,FALSE)=0,"",VLOOKUP(HjArk!$D25,Tab1,61,FALSE)))</f>
      </c>
      <c r="BJ57" s="217"/>
      <c r="BK57" s="217"/>
      <c r="BL57" s="218"/>
    </row>
    <row r="58" spans="1:64" ht="12.75">
      <c r="A58" s="132">
        <f>HjArk!B26</f>
        <v>0</v>
      </c>
      <c r="B58" s="216">
        <f>IF($A58=0,"",IF(VLOOKUP(HjArk!$D26,Tab1,2,FALSE)=0,"",VLOOKUP(HjArk!$D26,Tab1,2,FALSE)))</f>
      </c>
      <c r="C58" s="217">
        <f>IF($A58=0,"",IF(VLOOKUP(HjArk!$D26,Tab1,3,FALSE)=0,"",VLOOKUP(HjArk!$D26,Tab1,3,FALSE)))</f>
      </c>
      <c r="D58" s="217">
        <f>IF($A58=0,"",IF(VLOOKUP(HjArk!$D26,Tab1,4,FALSE)=0,"",VLOOKUP(HjArk!$D26,Tab1,4,FALSE)))</f>
      </c>
      <c r="E58" s="217">
        <f>IF($A58=0,"",IF(VLOOKUP(HjArk!$D26,Tab1,5,FALSE)=0,"",VLOOKUP(HjArk!$D26,Tab1,5,FALSE)))</f>
      </c>
      <c r="F58" s="217">
        <f>IF($A58=0,"",IF(VLOOKUP(HjArk!$D26,Tab1,6,FALSE)=0,"",VLOOKUP(HjArk!$D26,Tab1,6,FALSE)))</f>
      </c>
      <c r="G58" s="217">
        <f>IF($A58=0,"",IF(VLOOKUP(HjArk!$D26,Tab1,7,FALSE)=0,"",VLOOKUP(HjArk!$D26,Tab1,7,FALSE)))</f>
      </c>
      <c r="H58" s="217">
        <f>IF($A58=0,"",IF(VLOOKUP(HjArk!$D26,Tab1,8,FALSE)=0,"",VLOOKUP(HjArk!$D26,Tab1,8,FALSE)))</f>
      </c>
      <c r="I58" s="217">
        <f>IF($A58=0,"",IF(VLOOKUP(HjArk!$D26,Tab1,9,FALSE)=0,"",VLOOKUP(HjArk!$D26,Tab1,9,FALSE)))</f>
      </c>
      <c r="J58" s="217">
        <f>IF($A58=0,"",IF(VLOOKUP(HjArk!$D26,Tab1,10,FALSE)=0,"",VLOOKUP(HjArk!$D26,Tab1,10,FALSE)))</f>
      </c>
      <c r="K58" s="217">
        <f>IF($A58=0,"",IF(VLOOKUP(HjArk!$D26,Tab1,11,FALSE)=0,"",VLOOKUP(HjArk!$D26,Tab1,11,FALSE)))</f>
      </c>
      <c r="L58" s="217">
        <f>IF($A58=0,"",IF(VLOOKUP(HjArk!$D26,Tab1,12,FALSE)=0,"",VLOOKUP(HjArk!$D26,Tab1,12,FALSE)))</f>
      </c>
      <c r="M58" s="217">
        <f>IF($A58=0,"",IF(VLOOKUP(HjArk!$D26,Tab1,13,FALSE)=0,"",VLOOKUP(HjArk!$D26,Tab1,13,FALSE)))</f>
      </c>
      <c r="N58" s="217">
        <f>IF($A58=0,"",IF(VLOOKUP(HjArk!$D26,Tab1,14,FALSE)=0,"",VLOOKUP(HjArk!$D26,Tab1,14,FALSE)))</f>
      </c>
      <c r="O58" s="217">
        <f>IF($A58=0,"",IF(VLOOKUP(HjArk!$D26,Tab1,15,FALSE)=0,"",VLOOKUP(HjArk!$D26,Tab1,15,FALSE)))</f>
      </c>
      <c r="P58" s="217">
        <f>IF($A58=0,"",IF(VLOOKUP(HjArk!$D26,Tab1,16,FALSE)=0,"",VLOOKUP(HjArk!$D26,Tab1,16,FALSE)))</f>
      </c>
      <c r="Q58" s="217">
        <f>IF($A58=0,"",IF(VLOOKUP(HjArk!$D26,Tab1,17,FALSE)=0,"",VLOOKUP(HjArk!$D26,Tab1,17,FALSE)))</f>
      </c>
      <c r="R58" s="217">
        <f>IF($A58=0,"",IF(VLOOKUP(HjArk!$D26,Tab1,18,FALSE)=0,"",VLOOKUP(HjArk!$D26,Tab1,18,FALSE)))</f>
      </c>
      <c r="S58" s="217">
        <f>IF($A58=0,"",IF(VLOOKUP(HjArk!$D26,Tab1,19,FALSE)=0,"",VLOOKUP(HjArk!$D26,Tab1,19,FALSE)))</f>
      </c>
      <c r="T58" s="217">
        <f>IF($A58=0,"",IF(VLOOKUP(HjArk!$D26,Tab1,20,FALSE)=0,"",VLOOKUP(HjArk!$D26,Tab1,20,FALSE)))</f>
      </c>
      <c r="U58" s="217">
        <f>IF($A58=0,"",IF(VLOOKUP(HjArk!$D26,Tab1,21,FALSE)=0,"",VLOOKUP(HjArk!$D26,Tab1,21,FALSE)))</f>
      </c>
      <c r="V58" s="217">
        <f>IF($A58=0,"",IF(VLOOKUP(HjArk!$D26,Tab1,22,FALSE)=0,"",VLOOKUP(HjArk!$D26,Tab1,22,FALSE)))</f>
      </c>
      <c r="W58" s="217">
        <f>IF($A58=0,"",IF(VLOOKUP(HjArk!$D26,Tab1,23,FALSE)=0,"",VLOOKUP(HjArk!$D26,Tab1,23,FALSE)))</f>
      </c>
      <c r="X58" s="217">
        <f>IF($A58=0,"",IF(VLOOKUP(HjArk!$D26,Tab1,24,FALSE)=0,"",VLOOKUP(HjArk!$D26,Tab1,24,FALSE)))</f>
      </c>
      <c r="Y58" s="217">
        <f>IF($A58=0,"",IF(VLOOKUP(HjArk!$D26,Tab1,25,FALSE)=0,"",VLOOKUP(HjArk!$D26,Tab1,25,FALSE)))</f>
      </c>
      <c r="Z58" s="217">
        <f>IF($A58=0,"",IF(VLOOKUP(HjArk!$D26,Tab1,26,FALSE)=0,"",VLOOKUP(HjArk!$D26,Tab1,26,FALSE)))</f>
      </c>
      <c r="AA58" s="217">
        <f>IF($A58=0,"",IF(VLOOKUP(HjArk!$D26,Tab1,27,FALSE)=0,"",VLOOKUP(HjArk!$D26,Tab1,27,FALSE)))</f>
      </c>
      <c r="AB58" s="217">
        <f>IF($A58=0,"",IF(VLOOKUP(HjArk!$D26,Tab1,28,FALSE)=0,"",VLOOKUP(HjArk!$D26,Tab1,28,FALSE)))</f>
      </c>
      <c r="AC58" s="217">
        <f>IF($A58=0,"",IF(VLOOKUP(HjArk!$D26,Tab1,29,FALSE)=0,"",VLOOKUP(HjArk!$D26,Tab1,29,FALSE)))</f>
      </c>
      <c r="AD58" s="217">
        <f>IF($A58=0,"",IF(VLOOKUP(HjArk!$D26,Tab1,30,FALSE)=0,"",VLOOKUP(HjArk!$D26,Tab1,30,FALSE)))</f>
      </c>
      <c r="AE58" s="217">
        <f>IF($A58=0,"",IF(VLOOKUP(HjArk!$D26,Tab1,31,FALSE)=0,"",VLOOKUP(HjArk!$D26,Tab1,31,FALSE)))</f>
      </c>
      <c r="AF58" s="217">
        <f>IF($A58=0,"",IF(VLOOKUP(HjArk!$D26,Tab1,32,FALSE)=0,"",VLOOKUP(HjArk!$D26,Tab1,32,FALSE)))</f>
      </c>
      <c r="AG58" s="217">
        <f>IF($A58=0,"",IF(VLOOKUP(HjArk!$D26,Tab1,33,FALSE)=0,"",VLOOKUP(HjArk!$D26,Tab1,33,FALSE)))</f>
      </c>
      <c r="AH58" s="217">
        <f>IF($A58=0,"",IF(VLOOKUP(HjArk!$D26,Tab1,34,FALSE)=0,"",VLOOKUP(HjArk!$D26,Tab1,34,FALSE)))</f>
      </c>
      <c r="AI58" s="217">
        <f>IF($A58=0,"",IF(VLOOKUP(HjArk!$D26,Tab1,35,FALSE)=0,"",VLOOKUP(HjArk!$D26,Tab1,35,FALSE)))</f>
      </c>
      <c r="AJ58" s="217">
        <f>IF($A58=0,"",IF(VLOOKUP(HjArk!$D26,Tab1,36,FALSE)=0,"",VLOOKUP(HjArk!$D26,Tab1,36,FALSE)))</f>
      </c>
      <c r="AK58" s="217">
        <f>IF($A58=0,"",IF(VLOOKUP(HjArk!$D26,Tab1,37,FALSE)=0,"",VLOOKUP(HjArk!$D26,Tab1,37,FALSE)))</f>
      </c>
      <c r="AL58" s="217">
        <f>IF($A58=0,"",IF(VLOOKUP(HjArk!$D26,Tab1,38,FALSE)=0,"",VLOOKUP(HjArk!$D26,Tab1,38,FALSE)))</f>
      </c>
      <c r="AM58" s="217">
        <f>IF($A58=0,"",IF(VLOOKUP(HjArk!$D26,Tab1,39,FALSE)=0,"",VLOOKUP(HjArk!$D26,Tab1,39,FALSE)))</f>
      </c>
      <c r="AN58" s="217">
        <f>IF($A58=0,"",IF(VLOOKUP(HjArk!$D26,Tab1,40,FALSE)=0,"",VLOOKUP(HjArk!$D26,Tab1,40,FALSE)))</f>
      </c>
      <c r="AO58" s="217">
        <f>IF($A58=0,"",IF(VLOOKUP(HjArk!$D26,Tab1,41,FALSE)=0,"",VLOOKUP(HjArk!$D26,Tab1,41,FALSE)))</f>
      </c>
      <c r="AP58" s="217">
        <f>IF($A58=0,"",IF(VLOOKUP(HjArk!$D26,Tab1,42,FALSE)=0,"",VLOOKUP(HjArk!$D26,Tab1,42,FALSE)))</f>
      </c>
      <c r="AQ58" s="217">
        <f>IF($A58=0,"",IF(VLOOKUP(HjArk!$D26,Tab1,43,FALSE)=0,"",VLOOKUP(HjArk!$D26,Tab1,43,FALSE)))</f>
      </c>
      <c r="AR58" s="217">
        <f>IF($A58=0,"",IF(VLOOKUP(HjArk!$D26,Tab1,44,FALSE)=0,"",VLOOKUP(HjArk!$D26,Tab1,44,FALSE)))</f>
      </c>
      <c r="AS58" s="217">
        <f>IF($A58=0,"",IF(VLOOKUP(HjArk!$D26,Tab1,45,FALSE)=0,"",VLOOKUP(HjArk!$D26,Tab1,45,FALSE)))</f>
      </c>
      <c r="AT58" s="217">
        <f>IF($A58=0,"",IF(VLOOKUP(HjArk!$D26,Tab1,46,FALSE)=0,"",VLOOKUP(HjArk!$D26,Tab1,46,FALSE)))</f>
      </c>
      <c r="AU58" s="217">
        <f>IF($A58=0,"",IF(VLOOKUP(HjArk!$D26,Tab1,47,FALSE)=0,"",VLOOKUP(HjArk!$D26,Tab1,47,FALSE)))</f>
      </c>
      <c r="AV58" s="217">
        <f>IF($A58=0,"",IF(VLOOKUP(HjArk!$D26,Tab1,48,FALSE)=0,"",VLOOKUP(HjArk!$D26,Tab1,48,FALSE)))</f>
      </c>
      <c r="AW58" s="217">
        <f>IF($A58=0,"",IF(VLOOKUP(HjArk!$D26,Tab1,49,FALSE)=0,"",VLOOKUP(HjArk!$D26,Tab1,49,FALSE)))</f>
      </c>
      <c r="AX58" s="217">
        <f>IF($A58=0,"",IF(VLOOKUP(HjArk!$D26,Tab1,50,FALSE)=0,"",VLOOKUP(HjArk!$D26,Tab1,50,FALSE)))</f>
      </c>
      <c r="AY58" s="217">
        <f>IF($A58=0,"",IF(VLOOKUP(HjArk!$D26,Tab1,51,FALSE)=0,"",VLOOKUP(HjArk!$D26,Tab1,51,FALSE)))</f>
      </c>
      <c r="AZ58" s="217">
        <f>IF($A58=0,"",IF(VLOOKUP(HjArk!$D26,Tab1,52,FALSE)=0,"",VLOOKUP(HjArk!$D26,Tab1,52,FALSE)))</f>
      </c>
      <c r="BA58" s="217">
        <f>IF($A58=0,"",IF(VLOOKUP(HjArk!$D26,Tab1,53,FALSE)=0,"",VLOOKUP(HjArk!$D26,Tab1,53,FALSE)))</f>
      </c>
      <c r="BB58" s="217">
        <f>IF($A58=0,"",IF(VLOOKUP(HjArk!$D26,Tab1,54,FALSE)=0,"",VLOOKUP(HjArk!$D26,Tab1,54,FALSE)))</f>
      </c>
      <c r="BC58" s="217">
        <f>IF($A58=0,"",IF(VLOOKUP(HjArk!$D26,Tab1,55,FALSE)=0,"",VLOOKUP(HjArk!$D26,Tab1,55,FALSE)))</f>
      </c>
      <c r="BD58" s="217">
        <f>IF($A58=0,"",IF(VLOOKUP(HjArk!$D26,Tab1,56,FALSE)=0,"",VLOOKUP(HjArk!$D26,Tab1,56,FALSE)))</f>
      </c>
      <c r="BE58" s="217">
        <f>IF($A58=0,"",IF(VLOOKUP(HjArk!$D26,Tab1,57,FALSE)=0,"",VLOOKUP(HjArk!$D26,Tab1,57,FALSE)))</f>
      </c>
      <c r="BF58" s="217">
        <f>IF($A58=0,"",IF(VLOOKUP(HjArk!$D26,Tab1,58,FALSE)=0,"",VLOOKUP(HjArk!$D26,Tab1,58,FALSE)))</f>
      </c>
      <c r="BG58" s="217">
        <f>IF($A58=0,"",IF(VLOOKUP(HjArk!$D26,Tab1,59,FALSE)=0,"",VLOOKUP(HjArk!$D26,Tab1,59,FALSE)))</f>
      </c>
      <c r="BH58" s="217">
        <f>IF($A58=0,"",IF(VLOOKUP(HjArk!$D26,Tab1,60,FALSE)=0,"",VLOOKUP(HjArk!$D26,Tab1,60,FALSE)))</f>
      </c>
      <c r="BI58" s="217">
        <f>IF($A58=0,"",IF(VLOOKUP(HjArk!$D26,Tab1,61,FALSE)=0,"",VLOOKUP(HjArk!$D26,Tab1,61,FALSE)))</f>
      </c>
      <c r="BJ58" s="217"/>
      <c r="BK58" s="217"/>
      <c r="BL58" s="218"/>
    </row>
    <row r="59" spans="1:64" ht="12.75">
      <c r="A59" s="132">
        <f>HjArk!B27</f>
        <v>0</v>
      </c>
      <c r="B59" s="216">
        <f>IF($A59=0,"",IF(VLOOKUP(HjArk!$D27,Tab1,2,FALSE)=0,"",VLOOKUP(HjArk!$D27,Tab1,2,FALSE)))</f>
      </c>
      <c r="C59" s="217">
        <f>IF($A59=0,"",IF(VLOOKUP(HjArk!$D27,Tab1,3,FALSE)=0,"",VLOOKUP(HjArk!$D27,Tab1,3,FALSE)))</f>
      </c>
      <c r="D59" s="217">
        <f>IF($A59=0,"",IF(VLOOKUP(HjArk!$D27,Tab1,4,FALSE)=0,"",VLOOKUP(HjArk!$D27,Tab1,4,FALSE)))</f>
      </c>
      <c r="E59" s="217">
        <f>IF($A59=0,"",IF(VLOOKUP(HjArk!$D27,Tab1,5,FALSE)=0,"",VLOOKUP(HjArk!$D27,Tab1,5,FALSE)))</f>
      </c>
      <c r="F59" s="217">
        <f>IF($A59=0,"",IF(VLOOKUP(HjArk!$D27,Tab1,6,FALSE)=0,"",VLOOKUP(HjArk!$D27,Tab1,6,FALSE)))</f>
      </c>
      <c r="G59" s="217">
        <f>IF($A59=0,"",IF(VLOOKUP(HjArk!$D27,Tab1,7,FALSE)=0,"",VLOOKUP(HjArk!$D27,Tab1,7,FALSE)))</f>
      </c>
      <c r="H59" s="217">
        <f>IF($A59=0,"",IF(VLOOKUP(HjArk!$D27,Tab1,8,FALSE)=0,"",VLOOKUP(HjArk!$D27,Tab1,8,FALSE)))</f>
      </c>
      <c r="I59" s="217">
        <f>IF($A59=0,"",IF(VLOOKUP(HjArk!$D27,Tab1,9,FALSE)=0,"",VLOOKUP(HjArk!$D27,Tab1,9,FALSE)))</f>
      </c>
      <c r="J59" s="217">
        <f>IF($A59=0,"",IF(VLOOKUP(HjArk!$D27,Tab1,10,FALSE)=0,"",VLOOKUP(HjArk!$D27,Tab1,10,FALSE)))</f>
      </c>
      <c r="K59" s="217">
        <f>IF($A59=0,"",IF(VLOOKUP(HjArk!$D27,Tab1,11,FALSE)=0,"",VLOOKUP(HjArk!$D27,Tab1,11,FALSE)))</f>
      </c>
      <c r="L59" s="217">
        <f>IF($A59=0,"",IF(VLOOKUP(HjArk!$D27,Tab1,12,FALSE)=0,"",VLOOKUP(HjArk!$D27,Tab1,12,FALSE)))</f>
      </c>
      <c r="M59" s="217">
        <f>IF($A59=0,"",IF(VLOOKUP(HjArk!$D27,Tab1,13,FALSE)=0,"",VLOOKUP(HjArk!$D27,Tab1,13,FALSE)))</f>
      </c>
      <c r="N59" s="217">
        <f>IF($A59=0,"",IF(VLOOKUP(HjArk!$D27,Tab1,14,FALSE)=0,"",VLOOKUP(HjArk!$D27,Tab1,14,FALSE)))</f>
      </c>
      <c r="O59" s="217">
        <f>IF($A59=0,"",IF(VLOOKUP(HjArk!$D27,Tab1,15,FALSE)=0,"",VLOOKUP(HjArk!$D27,Tab1,15,FALSE)))</f>
      </c>
      <c r="P59" s="217">
        <f>IF($A59=0,"",IF(VLOOKUP(HjArk!$D27,Tab1,16,FALSE)=0,"",VLOOKUP(HjArk!$D27,Tab1,16,FALSE)))</f>
      </c>
      <c r="Q59" s="217">
        <f>IF($A59=0,"",IF(VLOOKUP(HjArk!$D27,Tab1,17,FALSE)=0,"",VLOOKUP(HjArk!$D27,Tab1,17,FALSE)))</f>
      </c>
      <c r="R59" s="217">
        <f>IF($A59=0,"",IF(VLOOKUP(HjArk!$D27,Tab1,18,FALSE)=0,"",VLOOKUP(HjArk!$D27,Tab1,18,FALSE)))</f>
      </c>
      <c r="S59" s="217">
        <f>IF($A59=0,"",IF(VLOOKUP(HjArk!$D27,Tab1,19,FALSE)=0,"",VLOOKUP(HjArk!$D27,Tab1,19,FALSE)))</f>
      </c>
      <c r="T59" s="217">
        <f>IF($A59=0,"",IF(VLOOKUP(HjArk!$D27,Tab1,20,FALSE)=0,"",VLOOKUP(HjArk!$D27,Tab1,20,FALSE)))</f>
      </c>
      <c r="U59" s="217">
        <f>IF($A59=0,"",IF(VLOOKUP(HjArk!$D27,Tab1,21,FALSE)=0,"",VLOOKUP(HjArk!$D27,Tab1,21,FALSE)))</f>
      </c>
      <c r="V59" s="217">
        <f>IF($A59=0,"",IF(VLOOKUP(HjArk!$D27,Tab1,22,FALSE)=0,"",VLOOKUP(HjArk!$D27,Tab1,22,FALSE)))</f>
      </c>
      <c r="W59" s="217">
        <f>IF($A59=0,"",IF(VLOOKUP(HjArk!$D27,Tab1,23,FALSE)=0,"",VLOOKUP(HjArk!$D27,Tab1,23,FALSE)))</f>
      </c>
      <c r="X59" s="217">
        <f>IF($A59=0,"",IF(VLOOKUP(HjArk!$D27,Tab1,24,FALSE)=0,"",VLOOKUP(HjArk!$D27,Tab1,24,FALSE)))</f>
      </c>
      <c r="Y59" s="217">
        <f>IF($A59=0,"",IF(VLOOKUP(HjArk!$D27,Tab1,25,FALSE)=0,"",VLOOKUP(HjArk!$D27,Tab1,25,FALSE)))</f>
      </c>
      <c r="Z59" s="217">
        <f>IF($A59=0,"",IF(VLOOKUP(HjArk!$D27,Tab1,26,FALSE)=0,"",VLOOKUP(HjArk!$D27,Tab1,26,FALSE)))</f>
      </c>
      <c r="AA59" s="217">
        <f>IF($A59=0,"",IF(VLOOKUP(HjArk!$D27,Tab1,27,FALSE)=0,"",VLOOKUP(HjArk!$D27,Tab1,27,FALSE)))</f>
      </c>
      <c r="AB59" s="217">
        <f>IF($A59=0,"",IF(VLOOKUP(HjArk!$D27,Tab1,28,FALSE)=0,"",VLOOKUP(HjArk!$D27,Tab1,28,FALSE)))</f>
      </c>
      <c r="AC59" s="217">
        <f>IF($A59=0,"",IF(VLOOKUP(HjArk!$D27,Tab1,29,FALSE)=0,"",VLOOKUP(HjArk!$D27,Tab1,29,FALSE)))</f>
      </c>
      <c r="AD59" s="217">
        <f>IF($A59=0,"",IF(VLOOKUP(HjArk!$D27,Tab1,30,FALSE)=0,"",VLOOKUP(HjArk!$D27,Tab1,30,FALSE)))</f>
      </c>
      <c r="AE59" s="217">
        <f>IF($A59=0,"",IF(VLOOKUP(HjArk!$D27,Tab1,31,FALSE)=0,"",VLOOKUP(HjArk!$D27,Tab1,31,FALSE)))</f>
      </c>
      <c r="AF59" s="217">
        <f>IF($A59=0,"",IF(VLOOKUP(HjArk!$D27,Tab1,32,FALSE)=0,"",VLOOKUP(HjArk!$D27,Tab1,32,FALSE)))</f>
      </c>
      <c r="AG59" s="217">
        <f>IF($A59=0,"",IF(VLOOKUP(HjArk!$D27,Tab1,33,FALSE)=0,"",VLOOKUP(HjArk!$D27,Tab1,33,FALSE)))</f>
      </c>
      <c r="AH59" s="217">
        <f>IF($A59=0,"",IF(VLOOKUP(HjArk!$D27,Tab1,34,FALSE)=0,"",VLOOKUP(HjArk!$D27,Tab1,34,FALSE)))</f>
      </c>
      <c r="AI59" s="217">
        <f>IF($A59=0,"",IF(VLOOKUP(HjArk!$D27,Tab1,35,FALSE)=0,"",VLOOKUP(HjArk!$D27,Tab1,35,FALSE)))</f>
      </c>
      <c r="AJ59" s="217">
        <f>IF($A59=0,"",IF(VLOOKUP(HjArk!$D27,Tab1,36,FALSE)=0,"",VLOOKUP(HjArk!$D27,Tab1,36,FALSE)))</f>
      </c>
      <c r="AK59" s="217">
        <f>IF($A59=0,"",IF(VLOOKUP(HjArk!$D27,Tab1,37,FALSE)=0,"",VLOOKUP(HjArk!$D27,Tab1,37,FALSE)))</f>
      </c>
      <c r="AL59" s="217">
        <f>IF($A59=0,"",IF(VLOOKUP(HjArk!$D27,Tab1,38,FALSE)=0,"",VLOOKUP(HjArk!$D27,Tab1,38,FALSE)))</f>
      </c>
      <c r="AM59" s="217">
        <f>IF($A59=0,"",IF(VLOOKUP(HjArk!$D27,Tab1,39,FALSE)=0,"",VLOOKUP(HjArk!$D27,Tab1,39,FALSE)))</f>
      </c>
      <c r="AN59" s="217">
        <f>IF($A59=0,"",IF(VLOOKUP(HjArk!$D27,Tab1,40,FALSE)=0,"",VLOOKUP(HjArk!$D27,Tab1,40,FALSE)))</f>
      </c>
      <c r="AO59" s="217">
        <f>IF($A59=0,"",IF(VLOOKUP(HjArk!$D27,Tab1,41,FALSE)=0,"",VLOOKUP(HjArk!$D27,Tab1,41,FALSE)))</f>
      </c>
      <c r="AP59" s="217">
        <f>IF($A59=0,"",IF(VLOOKUP(HjArk!$D27,Tab1,42,FALSE)=0,"",VLOOKUP(HjArk!$D27,Tab1,42,FALSE)))</f>
      </c>
      <c r="AQ59" s="217">
        <f>IF($A59=0,"",IF(VLOOKUP(HjArk!$D27,Tab1,43,FALSE)=0,"",VLOOKUP(HjArk!$D27,Tab1,43,FALSE)))</f>
      </c>
      <c r="AR59" s="217">
        <f>IF($A59=0,"",IF(VLOOKUP(HjArk!$D27,Tab1,44,FALSE)=0,"",VLOOKUP(HjArk!$D27,Tab1,44,FALSE)))</f>
      </c>
      <c r="AS59" s="217">
        <f>IF($A59=0,"",IF(VLOOKUP(HjArk!$D27,Tab1,45,FALSE)=0,"",VLOOKUP(HjArk!$D27,Tab1,45,FALSE)))</f>
      </c>
      <c r="AT59" s="217">
        <f>IF($A59=0,"",IF(VLOOKUP(HjArk!$D27,Tab1,46,FALSE)=0,"",VLOOKUP(HjArk!$D27,Tab1,46,FALSE)))</f>
      </c>
      <c r="AU59" s="217">
        <f>IF($A59=0,"",IF(VLOOKUP(HjArk!$D27,Tab1,47,FALSE)=0,"",VLOOKUP(HjArk!$D27,Tab1,47,FALSE)))</f>
      </c>
      <c r="AV59" s="217">
        <f>IF($A59=0,"",IF(VLOOKUP(HjArk!$D27,Tab1,48,FALSE)=0,"",VLOOKUP(HjArk!$D27,Tab1,48,FALSE)))</f>
      </c>
      <c r="AW59" s="217">
        <f>IF($A59=0,"",IF(VLOOKUP(HjArk!$D27,Tab1,49,FALSE)=0,"",VLOOKUP(HjArk!$D27,Tab1,49,FALSE)))</f>
      </c>
      <c r="AX59" s="217">
        <f>IF($A59=0,"",IF(VLOOKUP(HjArk!$D27,Tab1,50,FALSE)=0,"",VLOOKUP(HjArk!$D27,Tab1,50,FALSE)))</f>
      </c>
      <c r="AY59" s="217">
        <f>IF($A59=0,"",IF(VLOOKUP(HjArk!$D27,Tab1,51,FALSE)=0,"",VLOOKUP(HjArk!$D27,Tab1,51,FALSE)))</f>
      </c>
      <c r="AZ59" s="217">
        <f>IF($A59=0,"",IF(VLOOKUP(HjArk!$D27,Tab1,52,FALSE)=0,"",VLOOKUP(HjArk!$D27,Tab1,52,FALSE)))</f>
      </c>
      <c r="BA59" s="217">
        <f>IF($A59=0,"",IF(VLOOKUP(HjArk!$D27,Tab1,53,FALSE)=0,"",VLOOKUP(HjArk!$D27,Tab1,53,FALSE)))</f>
      </c>
      <c r="BB59" s="217">
        <f>IF($A59=0,"",IF(VLOOKUP(HjArk!$D27,Tab1,54,FALSE)=0,"",VLOOKUP(HjArk!$D27,Tab1,54,FALSE)))</f>
      </c>
      <c r="BC59" s="217">
        <f>IF($A59=0,"",IF(VLOOKUP(HjArk!$D27,Tab1,55,FALSE)=0,"",VLOOKUP(HjArk!$D27,Tab1,55,FALSE)))</f>
      </c>
      <c r="BD59" s="217">
        <f>IF($A59=0,"",IF(VLOOKUP(HjArk!$D27,Tab1,56,FALSE)=0,"",VLOOKUP(HjArk!$D27,Tab1,56,FALSE)))</f>
      </c>
      <c r="BE59" s="217">
        <f>IF($A59=0,"",IF(VLOOKUP(HjArk!$D27,Tab1,57,FALSE)=0,"",VLOOKUP(HjArk!$D27,Tab1,57,FALSE)))</f>
      </c>
      <c r="BF59" s="217">
        <f>IF($A59=0,"",IF(VLOOKUP(HjArk!$D27,Tab1,58,FALSE)=0,"",VLOOKUP(HjArk!$D27,Tab1,58,FALSE)))</f>
      </c>
      <c r="BG59" s="217">
        <f>IF($A59=0,"",IF(VLOOKUP(HjArk!$D27,Tab1,59,FALSE)=0,"",VLOOKUP(HjArk!$D27,Tab1,59,FALSE)))</f>
      </c>
      <c r="BH59" s="217">
        <f>IF($A59=0,"",IF(VLOOKUP(HjArk!$D27,Tab1,60,FALSE)=0,"",VLOOKUP(HjArk!$D27,Tab1,60,FALSE)))</f>
      </c>
      <c r="BI59" s="217">
        <f>IF($A59=0,"",IF(VLOOKUP(HjArk!$D27,Tab1,61,FALSE)=0,"",VLOOKUP(HjArk!$D27,Tab1,61,FALSE)))</f>
      </c>
      <c r="BJ59" s="217"/>
      <c r="BK59" s="217"/>
      <c r="BL59" s="218"/>
    </row>
    <row r="60" spans="1:64" ht="12.75">
      <c r="A60" s="132">
        <f>HjArk!B28</f>
        <v>0</v>
      </c>
      <c r="B60" s="216">
        <f>IF($A60=0,"",IF(VLOOKUP(HjArk!$D28,Tab1,2,FALSE)=0,"",VLOOKUP(HjArk!$D28,Tab1,2,FALSE)))</f>
      </c>
      <c r="C60" s="217">
        <f>IF($A60=0,"",IF(VLOOKUP(HjArk!$D28,Tab1,3,FALSE)=0,"",VLOOKUP(HjArk!$D28,Tab1,3,FALSE)))</f>
      </c>
      <c r="D60" s="217">
        <f>IF($A60=0,"",IF(VLOOKUP(HjArk!$D28,Tab1,4,FALSE)=0,"",VLOOKUP(HjArk!$D28,Tab1,4,FALSE)))</f>
      </c>
      <c r="E60" s="217">
        <f>IF($A60=0,"",IF(VLOOKUP(HjArk!$D28,Tab1,5,FALSE)=0,"",VLOOKUP(HjArk!$D28,Tab1,5,FALSE)))</f>
      </c>
      <c r="F60" s="217">
        <f>IF($A60=0,"",IF(VLOOKUP(HjArk!$D28,Tab1,6,FALSE)=0,"",VLOOKUP(HjArk!$D28,Tab1,6,FALSE)))</f>
      </c>
      <c r="G60" s="217">
        <f>IF($A60=0,"",IF(VLOOKUP(HjArk!$D28,Tab1,7,FALSE)=0,"",VLOOKUP(HjArk!$D28,Tab1,7,FALSE)))</f>
      </c>
      <c r="H60" s="217">
        <f>IF($A60=0,"",IF(VLOOKUP(HjArk!$D28,Tab1,8,FALSE)=0,"",VLOOKUP(HjArk!$D28,Tab1,8,FALSE)))</f>
      </c>
      <c r="I60" s="217">
        <f>IF($A60=0,"",IF(VLOOKUP(HjArk!$D28,Tab1,9,FALSE)=0,"",VLOOKUP(HjArk!$D28,Tab1,9,FALSE)))</f>
      </c>
      <c r="J60" s="217">
        <f>IF($A60=0,"",IF(VLOOKUP(HjArk!$D28,Tab1,10,FALSE)=0,"",VLOOKUP(HjArk!$D28,Tab1,10,FALSE)))</f>
      </c>
      <c r="K60" s="217">
        <f>IF($A60=0,"",IF(VLOOKUP(HjArk!$D28,Tab1,11,FALSE)=0,"",VLOOKUP(HjArk!$D28,Tab1,11,FALSE)))</f>
      </c>
      <c r="L60" s="217">
        <f>IF($A60=0,"",IF(VLOOKUP(HjArk!$D28,Tab1,12,FALSE)=0,"",VLOOKUP(HjArk!$D28,Tab1,12,FALSE)))</f>
      </c>
      <c r="M60" s="217">
        <f>IF($A60=0,"",IF(VLOOKUP(HjArk!$D28,Tab1,13,FALSE)=0,"",VLOOKUP(HjArk!$D28,Tab1,13,FALSE)))</f>
      </c>
      <c r="N60" s="217">
        <f>IF($A60=0,"",IF(VLOOKUP(HjArk!$D28,Tab1,14,FALSE)=0,"",VLOOKUP(HjArk!$D28,Tab1,14,FALSE)))</f>
      </c>
      <c r="O60" s="217">
        <f>IF($A60=0,"",IF(VLOOKUP(HjArk!$D28,Tab1,15,FALSE)=0,"",VLOOKUP(HjArk!$D28,Tab1,15,FALSE)))</f>
      </c>
      <c r="P60" s="217">
        <f>IF($A60=0,"",IF(VLOOKUP(HjArk!$D28,Tab1,16,FALSE)=0,"",VLOOKUP(HjArk!$D28,Tab1,16,FALSE)))</f>
      </c>
      <c r="Q60" s="217">
        <f>IF($A60=0,"",IF(VLOOKUP(HjArk!$D28,Tab1,17,FALSE)=0,"",VLOOKUP(HjArk!$D28,Tab1,17,FALSE)))</f>
      </c>
      <c r="R60" s="217">
        <f>IF($A60=0,"",IF(VLOOKUP(HjArk!$D28,Tab1,18,FALSE)=0,"",VLOOKUP(HjArk!$D28,Tab1,18,FALSE)))</f>
      </c>
      <c r="S60" s="217">
        <f>IF($A60=0,"",IF(VLOOKUP(HjArk!$D28,Tab1,19,FALSE)=0,"",VLOOKUP(HjArk!$D28,Tab1,19,FALSE)))</f>
      </c>
      <c r="T60" s="217">
        <f>IF($A60=0,"",IF(VLOOKUP(HjArk!$D28,Tab1,20,FALSE)=0,"",VLOOKUP(HjArk!$D28,Tab1,20,FALSE)))</f>
      </c>
      <c r="U60" s="217">
        <f>IF($A60=0,"",IF(VLOOKUP(HjArk!$D28,Tab1,21,FALSE)=0,"",VLOOKUP(HjArk!$D28,Tab1,21,FALSE)))</f>
      </c>
      <c r="V60" s="217">
        <f>IF($A60=0,"",IF(VLOOKUP(HjArk!$D28,Tab1,22,FALSE)=0,"",VLOOKUP(HjArk!$D28,Tab1,22,FALSE)))</f>
      </c>
      <c r="W60" s="217">
        <f>IF($A60=0,"",IF(VLOOKUP(HjArk!$D28,Tab1,23,FALSE)=0,"",VLOOKUP(HjArk!$D28,Tab1,23,FALSE)))</f>
      </c>
      <c r="X60" s="217">
        <f>IF($A60=0,"",IF(VLOOKUP(HjArk!$D28,Tab1,24,FALSE)=0,"",VLOOKUP(HjArk!$D28,Tab1,24,FALSE)))</f>
      </c>
      <c r="Y60" s="217">
        <f>IF($A60=0,"",IF(VLOOKUP(HjArk!$D28,Tab1,25,FALSE)=0,"",VLOOKUP(HjArk!$D28,Tab1,25,FALSE)))</f>
      </c>
      <c r="Z60" s="217">
        <f>IF($A60=0,"",IF(VLOOKUP(HjArk!$D28,Tab1,26,FALSE)=0,"",VLOOKUP(HjArk!$D28,Tab1,26,FALSE)))</f>
      </c>
      <c r="AA60" s="217">
        <f>IF($A60=0,"",IF(VLOOKUP(HjArk!$D28,Tab1,27,FALSE)=0,"",VLOOKUP(HjArk!$D28,Tab1,27,FALSE)))</f>
      </c>
      <c r="AB60" s="217">
        <f>IF($A60=0,"",IF(VLOOKUP(HjArk!$D28,Tab1,28,FALSE)=0,"",VLOOKUP(HjArk!$D28,Tab1,28,FALSE)))</f>
      </c>
      <c r="AC60" s="217">
        <f>IF($A60=0,"",IF(VLOOKUP(HjArk!$D28,Tab1,29,FALSE)=0,"",VLOOKUP(HjArk!$D28,Tab1,29,FALSE)))</f>
      </c>
      <c r="AD60" s="217">
        <f>IF($A60=0,"",IF(VLOOKUP(HjArk!$D28,Tab1,30,FALSE)=0,"",VLOOKUP(HjArk!$D28,Tab1,30,FALSE)))</f>
      </c>
      <c r="AE60" s="217">
        <f>IF($A60=0,"",IF(VLOOKUP(HjArk!$D28,Tab1,31,FALSE)=0,"",VLOOKUP(HjArk!$D28,Tab1,31,FALSE)))</f>
      </c>
      <c r="AF60" s="217">
        <f>IF($A60=0,"",IF(VLOOKUP(HjArk!$D28,Tab1,32,FALSE)=0,"",VLOOKUP(HjArk!$D28,Tab1,32,FALSE)))</f>
      </c>
      <c r="AG60" s="217">
        <f>IF($A60=0,"",IF(VLOOKUP(HjArk!$D28,Tab1,33,FALSE)=0,"",VLOOKUP(HjArk!$D28,Tab1,33,FALSE)))</f>
      </c>
      <c r="AH60" s="217">
        <f>IF($A60=0,"",IF(VLOOKUP(HjArk!$D28,Tab1,34,FALSE)=0,"",VLOOKUP(HjArk!$D28,Tab1,34,FALSE)))</f>
      </c>
      <c r="AI60" s="217">
        <f>IF($A60=0,"",IF(VLOOKUP(HjArk!$D28,Tab1,35,FALSE)=0,"",VLOOKUP(HjArk!$D28,Tab1,35,FALSE)))</f>
      </c>
      <c r="AJ60" s="217">
        <f>IF($A60=0,"",IF(VLOOKUP(HjArk!$D28,Tab1,36,FALSE)=0,"",VLOOKUP(HjArk!$D28,Tab1,36,FALSE)))</f>
      </c>
      <c r="AK60" s="217">
        <f>IF($A60=0,"",IF(VLOOKUP(HjArk!$D28,Tab1,37,FALSE)=0,"",VLOOKUP(HjArk!$D28,Tab1,37,FALSE)))</f>
      </c>
      <c r="AL60" s="217">
        <f>IF($A60=0,"",IF(VLOOKUP(HjArk!$D28,Tab1,38,FALSE)=0,"",VLOOKUP(HjArk!$D28,Tab1,38,FALSE)))</f>
      </c>
      <c r="AM60" s="217">
        <f>IF($A60=0,"",IF(VLOOKUP(HjArk!$D28,Tab1,39,FALSE)=0,"",VLOOKUP(HjArk!$D28,Tab1,39,FALSE)))</f>
      </c>
      <c r="AN60" s="217">
        <f>IF($A60=0,"",IF(VLOOKUP(HjArk!$D28,Tab1,40,FALSE)=0,"",VLOOKUP(HjArk!$D28,Tab1,40,FALSE)))</f>
      </c>
      <c r="AO60" s="217">
        <f>IF($A60=0,"",IF(VLOOKUP(HjArk!$D28,Tab1,41,FALSE)=0,"",VLOOKUP(HjArk!$D28,Tab1,41,FALSE)))</f>
      </c>
      <c r="AP60" s="217">
        <f>IF($A60=0,"",IF(VLOOKUP(HjArk!$D28,Tab1,42,FALSE)=0,"",VLOOKUP(HjArk!$D28,Tab1,42,FALSE)))</f>
      </c>
      <c r="AQ60" s="217">
        <f>IF($A60=0,"",IF(VLOOKUP(HjArk!$D28,Tab1,43,FALSE)=0,"",VLOOKUP(HjArk!$D28,Tab1,43,FALSE)))</f>
      </c>
      <c r="AR60" s="217">
        <f>IF($A60=0,"",IF(VLOOKUP(HjArk!$D28,Tab1,44,FALSE)=0,"",VLOOKUP(HjArk!$D28,Tab1,44,FALSE)))</f>
      </c>
      <c r="AS60" s="217">
        <f>IF($A60=0,"",IF(VLOOKUP(HjArk!$D28,Tab1,45,FALSE)=0,"",VLOOKUP(HjArk!$D28,Tab1,45,FALSE)))</f>
      </c>
      <c r="AT60" s="217">
        <f>IF($A60=0,"",IF(VLOOKUP(HjArk!$D28,Tab1,46,FALSE)=0,"",VLOOKUP(HjArk!$D28,Tab1,46,FALSE)))</f>
      </c>
      <c r="AU60" s="217">
        <f>IF($A60=0,"",IF(VLOOKUP(HjArk!$D28,Tab1,47,FALSE)=0,"",VLOOKUP(HjArk!$D28,Tab1,47,FALSE)))</f>
      </c>
      <c r="AV60" s="217">
        <f>IF($A60=0,"",IF(VLOOKUP(HjArk!$D28,Tab1,48,FALSE)=0,"",VLOOKUP(HjArk!$D28,Tab1,48,FALSE)))</f>
      </c>
      <c r="AW60" s="217">
        <f>IF($A60=0,"",IF(VLOOKUP(HjArk!$D28,Tab1,49,FALSE)=0,"",VLOOKUP(HjArk!$D28,Tab1,49,FALSE)))</f>
      </c>
      <c r="AX60" s="217">
        <f>IF($A60=0,"",IF(VLOOKUP(HjArk!$D28,Tab1,50,FALSE)=0,"",VLOOKUP(HjArk!$D28,Tab1,50,FALSE)))</f>
      </c>
      <c r="AY60" s="217">
        <f>IF($A60=0,"",IF(VLOOKUP(HjArk!$D28,Tab1,51,FALSE)=0,"",VLOOKUP(HjArk!$D28,Tab1,51,FALSE)))</f>
      </c>
      <c r="AZ60" s="217">
        <f>IF($A60=0,"",IF(VLOOKUP(HjArk!$D28,Tab1,52,FALSE)=0,"",VLOOKUP(HjArk!$D28,Tab1,52,FALSE)))</f>
      </c>
      <c r="BA60" s="217">
        <f>IF($A60=0,"",IF(VLOOKUP(HjArk!$D28,Tab1,53,FALSE)=0,"",VLOOKUP(HjArk!$D28,Tab1,53,FALSE)))</f>
      </c>
      <c r="BB60" s="217">
        <f>IF($A60=0,"",IF(VLOOKUP(HjArk!$D28,Tab1,54,FALSE)=0,"",VLOOKUP(HjArk!$D28,Tab1,54,FALSE)))</f>
      </c>
      <c r="BC60" s="217">
        <f>IF($A60=0,"",IF(VLOOKUP(HjArk!$D28,Tab1,55,FALSE)=0,"",VLOOKUP(HjArk!$D28,Tab1,55,FALSE)))</f>
      </c>
      <c r="BD60" s="217">
        <f>IF($A60=0,"",IF(VLOOKUP(HjArk!$D28,Tab1,56,FALSE)=0,"",VLOOKUP(HjArk!$D28,Tab1,56,FALSE)))</f>
      </c>
      <c r="BE60" s="217">
        <f>IF($A60=0,"",IF(VLOOKUP(HjArk!$D28,Tab1,57,FALSE)=0,"",VLOOKUP(HjArk!$D28,Tab1,57,FALSE)))</f>
      </c>
      <c r="BF60" s="217">
        <f>IF($A60=0,"",IF(VLOOKUP(HjArk!$D28,Tab1,58,FALSE)=0,"",VLOOKUP(HjArk!$D28,Tab1,58,FALSE)))</f>
      </c>
      <c r="BG60" s="217">
        <f>IF($A60=0,"",IF(VLOOKUP(HjArk!$D28,Tab1,59,FALSE)=0,"",VLOOKUP(HjArk!$D28,Tab1,59,FALSE)))</f>
      </c>
      <c r="BH60" s="217">
        <f>IF($A60=0,"",IF(VLOOKUP(HjArk!$D28,Tab1,60,FALSE)=0,"",VLOOKUP(HjArk!$D28,Tab1,60,FALSE)))</f>
      </c>
      <c r="BI60" s="217">
        <f>IF($A60=0,"",IF(VLOOKUP(HjArk!$D28,Tab1,61,FALSE)=0,"",VLOOKUP(HjArk!$D28,Tab1,61,FALSE)))</f>
      </c>
      <c r="BJ60" s="217"/>
      <c r="BK60" s="217"/>
      <c r="BL60" s="218"/>
    </row>
    <row r="61" spans="1:64" ht="12.75">
      <c r="A61" s="132">
        <f>HjArk!B29</f>
        <v>0</v>
      </c>
      <c r="B61" s="216">
        <f>IF($A61=0,"",IF(VLOOKUP(HjArk!$D29,Tab1,2,FALSE)=0,"",VLOOKUP(HjArk!$D29,Tab1,2,FALSE)))</f>
      </c>
      <c r="C61" s="217">
        <f>IF($A61=0,"",IF(VLOOKUP(HjArk!$D29,Tab1,3,FALSE)=0,"",VLOOKUP(HjArk!$D29,Tab1,3,FALSE)))</f>
      </c>
      <c r="D61" s="217">
        <f>IF($A61=0,"",IF(VLOOKUP(HjArk!$D29,Tab1,4,FALSE)=0,"",VLOOKUP(HjArk!$D29,Tab1,4,FALSE)))</f>
      </c>
      <c r="E61" s="217">
        <f>IF($A61=0,"",IF(VLOOKUP(HjArk!$D29,Tab1,5,FALSE)=0,"",VLOOKUP(HjArk!$D29,Tab1,5,FALSE)))</f>
      </c>
      <c r="F61" s="217">
        <f>IF($A61=0,"",IF(VLOOKUP(HjArk!$D29,Tab1,6,FALSE)=0,"",VLOOKUP(HjArk!$D29,Tab1,6,FALSE)))</f>
      </c>
      <c r="G61" s="217">
        <f>IF($A61=0,"",IF(VLOOKUP(HjArk!$D29,Tab1,7,FALSE)=0,"",VLOOKUP(HjArk!$D29,Tab1,7,FALSE)))</f>
      </c>
      <c r="H61" s="217">
        <f>IF($A61=0,"",IF(VLOOKUP(HjArk!$D29,Tab1,8,FALSE)=0,"",VLOOKUP(HjArk!$D29,Tab1,8,FALSE)))</f>
      </c>
      <c r="I61" s="217">
        <f>IF($A61=0,"",IF(VLOOKUP(HjArk!$D29,Tab1,9,FALSE)=0,"",VLOOKUP(HjArk!$D29,Tab1,9,FALSE)))</f>
      </c>
      <c r="J61" s="217">
        <f>IF($A61=0,"",IF(VLOOKUP(HjArk!$D29,Tab1,10,FALSE)=0,"",VLOOKUP(HjArk!$D29,Tab1,10,FALSE)))</f>
      </c>
      <c r="K61" s="217">
        <f>IF($A61=0,"",IF(VLOOKUP(HjArk!$D29,Tab1,11,FALSE)=0,"",VLOOKUP(HjArk!$D29,Tab1,11,FALSE)))</f>
      </c>
      <c r="L61" s="217">
        <f>IF($A61=0,"",IF(VLOOKUP(HjArk!$D29,Tab1,12,FALSE)=0,"",VLOOKUP(HjArk!$D29,Tab1,12,FALSE)))</f>
      </c>
      <c r="M61" s="217">
        <f>IF($A61=0,"",IF(VLOOKUP(HjArk!$D29,Tab1,13,FALSE)=0,"",VLOOKUP(HjArk!$D29,Tab1,13,FALSE)))</f>
      </c>
      <c r="N61" s="217">
        <f>IF($A61=0,"",IF(VLOOKUP(HjArk!$D29,Tab1,14,FALSE)=0,"",VLOOKUP(HjArk!$D29,Tab1,14,FALSE)))</f>
      </c>
      <c r="O61" s="217">
        <f>IF($A61=0,"",IF(VLOOKUP(HjArk!$D29,Tab1,15,FALSE)=0,"",VLOOKUP(HjArk!$D29,Tab1,15,FALSE)))</f>
      </c>
      <c r="P61" s="217">
        <f>IF($A61=0,"",IF(VLOOKUP(HjArk!$D29,Tab1,16,FALSE)=0,"",VLOOKUP(HjArk!$D29,Tab1,16,FALSE)))</f>
      </c>
      <c r="Q61" s="217">
        <f>IF($A61=0,"",IF(VLOOKUP(HjArk!$D29,Tab1,17,FALSE)=0,"",VLOOKUP(HjArk!$D29,Tab1,17,FALSE)))</f>
      </c>
      <c r="R61" s="217">
        <f>IF($A61=0,"",IF(VLOOKUP(HjArk!$D29,Tab1,18,FALSE)=0,"",VLOOKUP(HjArk!$D29,Tab1,18,FALSE)))</f>
      </c>
      <c r="S61" s="217">
        <f>IF($A61=0,"",IF(VLOOKUP(HjArk!$D29,Tab1,19,FALSE)=0,"",VLOOKUP(HjArk!$D29,Tab1,19,FALSE)))</f>
      </c>
      <c r="T61" s="217">
        <f>IF($A61=0,"",IF(VLOOKUP(HjArk!$D29,Tab1,20,FALSE)=0,"",VLOOKUP(HjArk!$D29,Tab1,20,FALSE)))</f>
      </c>
      <c r="U61" s="217">
        <f>IF($A61=0,"",IF(VLOOKUP(HjArk!$D29,Tab1,21,FALSE)=0,"",VLOOKUP(HjArk!$D29,Tab1,21,FALSE)))</f>
      </c>
      <c r="V61" s="217">
        <f>IF($A61=0,"",IF(VLOOKUP(HjArk!$D29,Tab1,22,FALSE)=0,"",VLOOKUP(HjArk!$D29,Tab1,22,FALSE)))</f>
      </c>
      <c r="W61" s="217">
        <f>IF($A61=0,"",IF(VLOOKUP(HjArk!$D29,Tab1,23,FALSE)=0,"",VLOOKUP(HjArk!$D29,Tab1,23,FALSE)))</f>
      </c>
      <c r="X61" s="217">
        <f>IF($A61=0,"",IF(VLOOKUP(HjArk!$D29,Tab1,24,FALSE)=0,"",VLOOKUP(HjArk!$D29,Tab1,24,FALSE)))</f>
      </c>
      <c r="Y61" s="217">
        <f>IF($A61=0,"",IF(VLOOKUP(HjArk!$D29,Tab1,25,FALSE)=0,"",VLOOKUP(HjArk!$D29,Tab1,25,FALSE)))</f>
      </c>
      <c r="Z61" s="217">
        <f>IF($A61=0,"",IF(VLOOKUP(HjArk!$D29,Tab1,26,FALSE)=0,"",VLOOKUP(HjArk!$D29,Tab1,26,FALSE)))</f>
      </c>
      <c r="AA61" s="217">
        <f>IF($A61=0,"",IF(VLOOKUP(HjArk!$D29,Tab1,27,FALSE)=0,"",VLOOKUP(HjArk!$D29,Tab1,27,FALSE)))</f>
      </c>
      <c r="AB61" s="217">
        <f>IF($A61=0,"",IF(VLOOKUP(HjArk!$D29,Tab1,28,FALSE)=0,"",VLOOKUP(HjArk!$D29,Tab1,28,FALSE)))</f>
      </c>
      <c r="AC61" s="217">
        <f>IF($A61=0,"",IF(VLOOKUP(HjArk!$D29,Tab1,29,FALSE)=0,"",VLOOKUP(HjArk!$D29,Tab1,29,FALSE)))</f>
      </c>
      <c r="AD61" s="217">
        <f>IF($A61=0,"",IF(VLOOKUP(HjArk!$D29,Tab1,30,FALSE)=0,"",VLOOKUP(HjArk!$D29,Tab1,30,FALSE)))</f>
      </c>
      <c r="AE61" s="217">
        <f>IF($A61=0,"",IF(VLOOKUP(HjArk!$D29,Tab1,31,FALSE)=0,"",VLOOKUP(HjArk!$D29,Tab1,31,FALSE)))</f>
      </c>
      <c r="AF61" s="217">
        <f>IF($A61=0,"",IF(VLOOKUP(HjArk!$D29,Tab1,32,FALSE)=0,"",VLOOKUP(HjArk!$D29,Tab1,32,FALSE)))</f>
      </c>
      <c r="AG61" s="217">
        <f>IF($A61=0,"",IF(VLOOKUP(HjArk!$D29,Tab1,33,FALSE)=0,"",VLOOKUP(HjArk!$D29,Tab1,33,FALSE)))</f>
      </c>
      <c r="AH61" s="217">
        <f>IF($A61=0,"",IF(VLOOKUP(HjArk!$D29,Tab1,34,FALSE)=0,"",VLOOKUP(HjArk!$D29,Tab1,34,FALSE)))</f>
      </c>
      <c r="AI61" s="217">
        <f>IF($A61=0,"",IF(VLOOKUP(HjArk!$D29,Tab1,35,FALSE)=0,"",VLOOKUP(HjArk!$D29,Tab1,35,FALSE)))</f>
      </c>
      <c r="AJ61" s="217">
        <f>IF($A61=0,"",IF(VLOOKUP(HjArk!$D29,Tab1,36,FALSE)=0,"",VLOOKUP(HjArk!$D29,Tab1,36,FALSE)))</f>
      </c>
      <c r="AK61" s="217">
        <f>IF($A61=0,"",IF(VLOOKUP(HjArk!$D29,Tab1,37,FALSE)=0,"",VLOOKUP(HjArk!$D29,Tab1,37,FALSE)))</f>
      </c>
      <c r="AL61" s="217">
        <f>IF($A61=0,"",IF(VLOOKUP(HjArk!$D29,Tab1,38,FALSE)=0,"",VLOOKUP(HjArk!$D29,Tab1,38,FALSE)))</f>
      </c>
      <c r="AM61" s="217">
        <f>IF($A61=0,"",IF(VLOOKUP(HjArk!$D29,Tab1,39,FALSE)=0,"",VLOOKUP(HjArk!$D29,Tab1,39,FALSE)))</f>
      </c>
      <c r="AN61" s="217">
        <f>IF($A61=0,"",IF(VLOOKUP(HjArk!$D29,Tab1,40,FALSE)=0,"",VLOOKUP(HjArk!$D29,Tab1,40,FALSE)))</f>
      </c>
      <c r="AO61" s="217">
        <f>IF($A61=0,"",IF(VLOOKUP(HjArk!$D29,Tab1,41,FALSE)=0,"",VLOOKUP(HjArk!$D29,Tab1,41,FALSE)))</f>
      </c>
      <c r="AP61" s="217">
        <f>IF($A61=0,"",IF(VLOOKUP(HjArk!$D29,Tab1,42,FALSE)=0,"",VLOOKUP(HjArk!$D29,Tab1,42,FALSE)))</f>
      </c>
      <c r="AQ61" s="217">
        <f>IF($A61=0,"",IF(VLOOKUP(HjArk!$D29,Tab1,43,FALSE)=0,"",VLOOKUP(HjArk!$D29,Tab1,43,FALSE)))</f>
      </c>
      <c r="AR61" s="217">
        <f>IF($A61=0,"",IF(VLOOKUP(HjArk!$D29,Tab1,44,FALSE)=0,"",VLOOKUP(HjArk!$D29,Tab1,44,FALSE)))</f>
      </c>
      <c r="AS61" s="217">
        <f>IF($A61=0,"",IF(VLOOKUP(HjArk!$D29,Tab1,45,FALSE)=0,"",VLOOKUP(HjArk!$D29,Tab1,45,FALSE)))</f>
      </c>
      <c r="AT61" s="217">
        <f>IF($A61=0,"",IF(VLOOKUP(HjArk!$D29,Tab1,46,FALSE)=0,"",VLOOKUP(HjArk!$D29,Tab1,46,FALSE)))</f>
      </c>
      <c r="AU61" s="217">
        <f>IF($A61=0,"",IF(VLOOKUP(HjArk!$D29,Tab1,47,FALSE)=0,"",VLOOKUP(HjArk!$D29,Tab1,47,FALSE)))</f>
      </c>
      <c r="AV61" s="217">
        <f>IF($A61=0,"",IF(VLOOKUP(HjArk!$D29,Tab1,48,FALSE)=0,"",VLOOKUP(HjArk!$D29,Tab1,48,FALSE)))</f>
      </c>
      <c r="AW61" s="217">
        <f>IF($A61=0,"",IF(VLOOKUP(HjArk!$D29,Tab1,49,FALSE)=0,"",VLOOKUP(HjArk!$D29,Tab1,49,FALSE)))</f>
      </c>
      <c r="AX61" s="217">
        <f>IF($A61=0,"",IF(VLOOKUP(HjArk!$D29,Tab1,50,FALSE)=0,"",VLOOKUP(HjArk!$D29,Tab1,50,FALSE)))</f>
      </c>
      <c r="AY61" s="217">
        <f>IF($A61=0,"",IF(VLOOKUP(HjArk!$D29,Tab1,51,FALSE)=0,"",VLOOKUP(HjArk!$D29,Tab1,51,FALSE)))</f>
      </c>
      <c r="AZ61" s="217">
        <f>IF($A61=0,"",IF(VLOOKUP(HjArk!$D29,Tab1,52,FALSE)=0,"",VLOOKUP(HjArk!$D29,Tab1,52,FALSE)))</f>
      </c>
      <c r="BA61" s="217">
        <f>IF($A61=0,"",IF(VLOOKUP(HjArk!$D29,Tab1,53,FALSE)=0,"",VLOOKUP(HjArk!$D29,Tab1,53,FALSE)))</f>
      </c>
      <c r="BB61" s="217">
        <f>IF($A61=0,"",IF(VLOOKUP(HjArk!$D29,Tab1,54,FALSE)=0,"",VLOOKUP(HjArk!$D29,Tab1,54,FALSE)))</f>
      </c>
      <c r="BC61" s="217">
        <f>IF($A61=0,"",IF(VLOOKUP(HjArk!$D29,Tab1,55,FALSE)=0,"",VLOOKUP(HjArk!$D29,Tab1,55,FALSE)))</f>
      </c>
      <c r="BD61" s="217">
        <f>IF($A61=0,"",IF(VLOOKUP(HjArk!$D29,Tab1,56,FALSE)=0,"",VLOOKUP(HjArk!$D29,Tab1,56,FALSE)))</f>
      </c>
      <c r="BE61" s="217">
        <f>IF($A61=0,"",IF(VLOOKUP(HjArk!$D29,Tab1,57,FALSE)=0,"",VLOOKUP(HjArk!$D29,Tab1,57,FALSE)))</f>
      </c>
      <c r="BF61" s="217">
        <f>IF($A61=0,"",IF(VLOOKUP(HjArk!$D29,Tab1,58,FALSE)=0,"",VLOOKUP(HjArk!$D29,Tab1,58,FALSE)))</f>
      </c>
      <c r="BG61" s="217">
        <f>IF($A61=0,"",IF(VLOOKUP(HjArk!$D29,Tab1,59,FALSE)=0,"",VLOOKUP(HjArk!$D29,Tab1,59,FALSE)))</f>
      </c>
      <c r="BH61" s="217">
        <f>IF($A61=0,"",IF(VLOOKUP(HjArk!$D29,Tab1,60,FALSE)=0,"",VLOOKUP(HjArk!$D29,Tab1,60,FALSE)))</f>
      </c>
      <c r="BI61" s="217">
        <f>IF($A61=0,"",IF(VLOOKUP(HjArk!$D29,Tab1,61,FALSE)=0,"",VLOOKUP(HjArk!$D29,Tab1,61,FALSE)))</f>
      </c>
      <c r="BJ61" s="217"/>
      <c r="BK61" s="217"/>
      <c r="BL61" s="218"/>
    </row>
    <row r="62" spans="1:64" ht="12.75">
      <c r="A62" s="132">
        <f>HjArk!B30</f>
        <v>0</v>
      </c>
      <c r="B62" s="216">
        <f>IF($A62=0,"",IF(VLOOKUP(HjArk!$D30,Tab1,2,FALSE)=0,"",VLOOKUP(HjArk!$D30,Tab1,2,FALSE)))</f>
      </c>
      <c r="C62" s="217">
        <f>IF($A62=0,"",IF(VLOOKUP(HjArk!$D30,Tab1,3,FALSE)=0,"",VLOOKUP(HjArk!$D30,Tab1,3,FALSE)))</f>
      </c>
      <c r="D62" s="217">
        <f>IF($A62=0,"",IF(VLOOKUP(HjArk!$D30,Tab1,4,FALSE)=0,"",VLOOKUP(HjArk!$D30,Tab1,4,FALSE)))</f>
      </c>
      <c r="E62" s="217">
        <f>IF($A62=0,"",IF(VLOOKUP(HjArk!$D30,Tab1,5,FALSE)=0,"",VLOOKUP(HjArk!$D30,Tab1,5,FALSE)))</f>
      </c>
      <c r="F62" s="217">
        <f>IF($A62=0,"",IF(VLOOKUP(HjArk!$D30,Tab1,6,FALSE)=0,"",VLOOKUP(HjArk!$D30,Tab1,6,FALSE)))</f>
      </c>
      <c r="G62" s="217">
        <f>IF($A62=0,"",IF(VLOOKUP(HjArk!$D30,Tab1,7,FALSE)=0,"",VLOOKUP(HjArk!$D30,Tab1,7,FALSE)))</f>
      </c>
      <c r="H62" s="217">
        <f>IF($A62=0,"",IF(VLOOKUP(HjArk!$D30,Tab1,8,FALSE)=0,"",VLOOKUP(HjArk!$D30,Tab1,8,FALSE)))</f>
      </c>
      <c r="I62" s="217">
        <f>IF($A62=0,"",IF(VLOOKUP(HjArk!$D30,Tab1,9,FALSE)=0,"",VLOOKUP(HjArk!$D30,Tab1,9,FALSE)))</f>
      </c>
      <c r="J62" s="217">
        <f>IF($A62=0,"",IF(VLOOKUP(HjArk!$D30,Tab1,10,FALSE)=0,"",VLOOKUP(HjArk!$D30,Tab1,10,FALSE)))</f>
      </c>
      <c r="K62" s="217">
        <f>IF($A62=0,"",IF(VLOOKUP(HjArk!$D30,Tab1,11,FALSE)=0,"",VLOOKUP(HjArk!$D30,Tab1,11,FALSE)))</f>
      </c>
      <c r="L62" s="217">
        <f>IF($A62=0,"",IF(VLOOKUP(HjArk!$D30,Tab1,12,FALSE)=0,"",VLOOKUP(HjArk!$D30,Tab1,12,FALSE)))</f>
      </c>
      <c r="M62" s="217">
        <f>IF($A62=0,"",IF(VLOOKUP(HjArk!$D30,Tab1,13,FALSE)=0,"",VLOOKUP(HjArk!$D30,Tab1,13,FALSE)))</f>
      </c>
      <c r="N62" s="217">
        <f>IF($A62=0,"",IF(VLOOKUP(HjArk!$D30,Tab1,14,FALSE)=0,"",VLOOKUP(HjArk!$D30,Tab1,14,FALSE)))</f>
      </c>
      <c r="O62" s="217">
        <f>IF($A62=0,"",IF(VLOOKUP(HjArk!$D30,Tab1,15,FALSE)=0,"",VLOOKUP(HjArk!$D30,Tab1,15,FALSE)))</f>
      </c>
      <c r="P62" s="217">
        <f>IF($A62=0,"",IF(VLOOKUP(HjArk!$D30,Tab1,16,FALSE)=0,"",VLOOKUP(HjArk!$D30,Tab1,16,FALSE)))</f>
      </c>
      <c r="Q62" s="217">
        <f>IF($A62=0,"",IF(VLOOKUP(HjArk!$D30,Tab1,17,FALSE)=0,"",VLOOKUP(HjArk!$D30,Tab1,17,FALSE)))</f>
      </c>
      <c r="R62" s="217">
        <f>IF($A62=0,"",IF(VLOOKUP(HjArk!$D30,Tab1,18,FALSE)=0,"",VLOOKUP(HjArk!$D30,Tab1,18,FALSE)))</f>
      </c>
      <c r="S62" s="217">
        <f>IF($A62=0,"",IF(VLOOKUP(HjArk!$D30,Tab1,19,FALSE)=0,"",VLOOKUP(HjArk!$D30,Tab1,19,FALSE)))</f>
      </c>
      <c r="T62" s="217">
        <f>IF($A62=0,"",IF(VLOOKUP(HjArk!$D30,Tab1,20,FALSE)=0,"",VLOOKUP(HjArk!$D30,Tab1,20,FALSE)))</f>
      </c>
      <c r="U62" s="217">
        <f>IF($A62=0,"",IF(VLOOKUP(HjArk!$D30,Tab1,21,FALSE)=0,"",VLOOKUP(HjArk!$D30,Tab1,21,FALSE)))</f>
      </c>
      <c r="V62" s="217">
        <f>IF($A62=0,"",IF(VLOOKUP(HjArk!$D30,Tab1,22,FALSE)=0,"",VLOOKUP(HjArk!$D30,Tab1,22,FALSE)))</f>
      </c>
      <c r="W62" s="217">
        <f>IF($A62=0,"",IF(VLOOKUP(HjArk!$D30,Tab1,23,FALSE)=0,"",VLOOKUP(HjArk!$D30,Tab1,23,FALSE)))</f>
      </c>
      <c r="X62" s="217">
        <f>IF($A62=0,"",IF(VLOOKUP(HjArk!$D30,Tab1,24,FALSE)=0,"",VLOOKUP(HjArk!$D30,Tab1,24,FALSE)))</f>
      </c>
      <c r="Y62" s="217">
        <f>IF($A62=0,"",IF(VLOOKUP(HjArk!$D30,Tab1,25,FALSE)=0,"",VLOOKUP(HjArk!$D30,Tab1,25,FALSE)))</f>
      </c>
      <c r="Z62" s="217">
        <f>IF($A62=0,"",IF(VLOOKUP(HjArk!$D30,Tab1,26,FALSE)=0,"",VLOOKUP(HjArk!$D30,Tab1,26,FALSE)))</f>
      </c>
      <c r="AA62" s="217">
        <f>IF($A62=0,"",IF(VLOOKUP(HjArk!$D30,Tab1,27,FALSE)=0,"",VLOOKUP(HjArk!$D30,Tab1,27,FALSE)))</f>
      </c>
      <c r="AB62" s="217">
        <f>IF($A62=0,"",IF(VLOOKUP(HjArk!$D30,Tab1,28,FALSE)=0,"",VLOOKUP(HjArk!$D30,Tab1,28,FALSE)))</f>
      </c>
      <c r="AC62" s="217">
        <f>IF($A62=0,"",IF(VLOOKUP(HjArk!$D30,Tab1,29,FALSE)=0,"",VLOOKUP(HjArk!$D30,Tab1,29,FALSE)))</f>
      </c>
      <c r="AD62" s="217">
        <f>IF($A62=0,"",IF(VLOOKUP(HjArk!$D30,Tab1,30,FALSE)=0,"",VLOOKUP(HjArk!$D30,Tab1,30,FALSE)))</f>
      </c>
      <c r="AE62" s="217">
        <f>IF($A62=0,"",IF(VLOOKUP(HjArk!$D30,Tab1,31,FALSE)=0,"",VLOOKUP(HjArk!$D30,Tab1,31,FALSE)))</f>
      </c>
      <c r="AF62" s="217">
        <f>IF($A62=0,"",IF(VLOOKUP(HjArk!$D30,Tab1,32,FALSE)=0,"",VLOOKUP(HjArk!$D30,Tab1,32,FALSE)))</f>
      </c>
      <c r="AG62" s="217">
        <f>IF($A62=0,"",IF(VLOOKUP(HjArk!$D30,Tab1,33,FALSE)=0,"",VLOOKUP(HjArk!$D30,Tab1,33,FALSE)))</f>
      </c>
      <c r="AH62" s="217">
        <f>IF($A62=0,"",IF(VLOOKUP(HjArk!$D30,Tab1,34,FALSE)=0,"",VLOOKUP(HjArk!$D30,Tab1,34,FALSE)))</f>
      </c>
      <c r="AI62" s="217">
        <f>IF($A62=0,"",IF(VLOOKUP(HjArk!$D30,Tab1,35,FALSE)=0,"",VLOOKUP(HjArk!$D30,Tab1,35,FALSE)))</f>
      </c>
      <c r="AJ62" s="217">
        <f>IF($A62=0,"",IF(VLOOKUP(HjArk!$D30,Tab1,36,FALSE)=0,"",VLOOKUP(HjArk!$D30,Tab1,36,FALSE)))</f>
      </c>
      <c r="AK62" s="217">
        <f>IF($A62=0,"",IF(VLOOKUP(HjArk!$D30,Tab1,37,FALSE)=0,"",VLOOKUP(HjArk!$D30,Tab1,37,FALSE)))</f>
      </c>
      <c r="AL62" s="217">
        <f>IF($A62=0,"",IF(VLOOKUP(HjArk!$D30,Tab1,38,FALSE)=0,"",VLOOKUP(HjArk!$D30,Tab1,38,FALSE)))</f>
      </c>
      <c r="AM62" s="217">
        <f>IF($A62=0,"",IF(VLOOKUP(HjArk!$D30,Tab1,39,FALSE)=0,"",VLOOKUP(HjArk!$D30,Tab1,39,FALSE)))</f>
      </c>
      <c r="AN62" s="217">
        <f>IF($A62=0,"",IF(VLOOKUP(HjArk!$D30,Tab1,40,FALSE)=0,"",VLOOKUP(HjArk!$D30,Tab1,40,FALSE)))</f>
      </c>
      <c r="AO62" s="217">
        <f>IF($A62=0,"",IF(VLOOKUP(HjArk!$D30,Tab1,41,FALSE)=0,"",VLOOKUP(HjArk!$D30,Tab1,41,FALSE)))</f>
      </c>
      <c r="AP62" s="217">
        <f>IF($A62=0,"",IF(VLOOKUP(HjArk!$D30,Tab1,42,FALSE)=0,"",VLOOKUP(HjArk!$D30,Tab1,42,FALSE)))</f>
      </c>
      <c r="AQ62" s="217">
        <f>IF($A62=0,"",IF(VLOOKUP(HjArk!$D30,Tab1,43,FALSE)=0,"",VLOOKUP(HjArk!$D30,Tab1,43,FALSE)))</f>
      </c>
      <c r="AR62" s="217">
        <f>IF($A62=0,"",IF(VLOOKUP(HjArk!$D30,Tab1,44,FALSE)=0,"",VLOOKUP(HjArk!$D30,Tab1,44,FALSE)))</f>
      </c>
      <c r="AS62" s="217">
        <f>IF($A62=0,"",IF(VLOOKUP(HjArk!$D30,Tab1,45,FALSE)=0,"",VLOOKUP(HjArk!$D30,Tab1,45,FALSE)))</f>
      </c>
      <c r="AT62" s="217">
        <f>IF($A62=0,"",IF(VLOOKUP(HjArk!$D30,Tab1,46,FALSE)=0,"",VLOOKUP(HjArk!$D30,Tab1,46,FALSE)))</f>
      </c>
      <c r="AU62" s="217">
        <f>IF($A62=0,"",IF(VLOOKUP(HjArk!$D30,Tab1,47,FALSE)=0,"",VLOOKUP(HjArk!$D30,Tab1,47,FALSE)))</f>
      </c>
      <c r="AV62" s="217">
        <f>IF($A62=0,"",IF(VLOOKUP(HjArk!$D30,Tab1,48,FALSE)=0,"",VLOOKUP(HjArk!$D30,Tab1,48,FALSE)))</f>
      </c>
      <c r="AW62" s="217">
        <f>IF($A62=0,"",IF(VLOOKUP(HjArk!$D30,Tab1,49,FALSE)=0,"",VLOOKUP(HjArk!$D30,Tab1,49,FALSE)))</f>
      </c>
      <c r="AX62" s="217">
        <f>IF($A62=0,"",IF(VLOOKUP(HjArk!$D30,Tab1,50,FALSE)=0,"",VLOOKUP(HjArk!$D30,Tab1,50,FALSE)))</f>
      </c>
      <c r="AY62" s="217">
        <f>IF($A62=0,"",IF(VLOOKUP(HjArk!$D30,Tab1,51,FALSE)=0,"",VLOOKUP(HjArk!$D30,Tab1,51,FALSE)))</f>
      </c>
      <c r="AZ62" s="217">
        <f>IF($A62=0,"",IF(VLOOKUP(HjArk!$D30,Tab1,52,FALSE)=0,"",VLOOKUP(HjArk!$D30,Tab1,52,FALSE)))</f>
      </c>
      <c r="BA62" s="217">
        <f>IF($A62=0,"",IF(VLOOKUP(HjArk!$D30,Tab1,53,FALSE)=0,"",VLOOKUP(HjArk!$D30,Tab1,53,FALSE)))</f>
      </c>
      <c r="BB62" s="217">
        <f>IF($A62=0,"",IF(VLOOKUP(HjArk!$D30,Tab1,54,FALSE)=0,"",VLOOKUP(HjArk!$D30,Tab1,54,FALSE)))</f>
      </c>
      <c r="BC62" s="217">
        <f>IF($A62=0,"",IF(VLOOKUP(HjArk!$D30,Tab1,55,FALSE)=0,"",VLOOKUP(HjArk!$D30,Tab1,55,FALSE)))</f>
      </c>
      <c r="BD62" s="217">
        <f>IF($A62=0,"",IF(VLOOKUP(HjArk!$D30,Tab1,56,FALSE)=0,"",VLOOKUP(HjArk!$D30,Tab1,56,FALSE)))</f>
      </c>
      <c r="BE62" s="217">
        <f>IF($A62=0,"",IF(VLOOKUP(HjArk!$D30,Tab1,57,FALSE)=0,"",VLOOKUP(HjArk!$D30,Tab1,57,FALSE)))</f>
      </c>
      <c r="BF62" s="217">
        <f>IF($A62=0,"",IF(VLOOKUP(HjArk!$D30,Tab1,58,FALSE)=0,"",VLOOKUP(HjArk!$D30,Tab1,58,FALSE)))</f>
      </c>
      <c r="BG62" s="217">
        <f>IF($A62=0,"",IF(VLOOKUP(HjArk!$D30,Tab1,59,FALSE)=0,"",VLOOKUP(HjArk!$D30,Tab1,59,FALSE)))</f>
      </c>
      <c r="BH62" s="217">
        <f>IF($A62=0,"",IF(VLOOKUP(HjArk!$D30,Tab1,60,FALSE)=0,"",VLOOKUP(HjArk!$D30,Tab1,60,FALSE)))</f>
      </c>
      <c r="BI62" s="217">
        <f>IF($A62=0,"",IF(VLOOKUP(HjArk!$D30,Tab1,61,FALSE)=0,"",VLOOKUP(HjArk!$D30,Tab1,61,FALSE)))</f>
      </c>
      <c r="BJ62" s="217"/>
      <c r="BK62" s="217"/>
      <c r="BL62" s="218"/>
    </row>
    <row r="63" spans="1:64" ht="12.75">
      <c r="A63" s="132">
        <f>HjArk!B31</f>
        <v>0</v>
      </c>
      <c r="B63" s="216">
        <f>IF($A63=0,"",IF(VLOOKUP(HjArk!$D31,Tab1,2,FALSE)=0,"",VLOOKUP(HjArk!$D31,Tab1,2,FALSE)))</f>
      </c>
      <c r="C63" s="217">
        <f>IF($A63=0,"",IF(VLOOKUP(HjArk!$D31,Tab1,3,FALSE)=0,"",VLOOKUP(HjArk!$D31,Tab1,3,FALSE)))</f>
      </c>
      <c r="D63" s="217">
        <f>IF($A63=0,"",IF(VLOOKUP(HjArk!$D31,Tab1,4,FALSE)=0,"",VLOOKUP(HjArk!$D31,Tab1,4,FALSE)))</f>
      </c>
      <c r="E63" s="217">
        <f>IF($A63=0,"",IF(VLOOKUP(HjArk!$D31,Tab1,5,FALSE)=0,"",VLOOKUP(HjArk!$D31,Tab1,5,FALSE)))</f>
      </c>
      <c r="F63" s="217">
        <f>IF($A63=0,"",IF(VLOOKUP(HjArk!$D31,Tab1,6,FALSE)=0,"",VLOOKUP(HjArk!$D31,Tab1,6,FALSE)))</f>
      </c>
      <c r="G63" s="217">
        <f>IF($A63=0,"",IF(VLOOKUP(HjArk!$D31,Tab1,7,FALSE)=0,"",VLOOKUP(HjArk!$D31,Tab1,7,FALSE)))</f>
      </c>
      <c r="H63" s="217">
        <f>IF($A63=0,"",IF(VLOOKUP(HjArk!$D31,Tab1,8,FALSE)=0,"",VLOOKUP(HjArk!$D31,Tab1,8,FALSE)))</f>
      </c>
      <c r="I63" s="217">
        <f>IF($A63=0,"",IF(VLOOKUP(HjArk!$D31,Tab1,9,FALSE)=0,"",VLOOKUP(HjArk!$D31,Tab1,9,FALSE)))</f>
      </c>
      <c r="J63" s="217">
        <f>IF($A63=0,"",IF(VLOOKUP(HjArk!$D31,Tab1,10,FALSE)=0,"",VLOOKUP(HjArk!$D31,Tab1,10,FALSE)))</f>
      </c>
      <c r="K63" s="217">
        <f>IF($A63=0,"",IF(VLOOKUP(HjArk!$D31,Tab1,11,FALSE)=0,"",VLOOKUP(HjArk!$D31,Tab1,11,FALSE)))</f>
      </c>
      <c r="L63" s="217">
        <f>IF($A63=0,"",IF(VLOOKUP(HjArk!$D31,Tab1,12,FALSE)=0,"",VLOOKUP(HjArk!$D31,Tab1,12,FALSE)))</f>
      </c>
      <c r="M63" s="217">
        <f>IF($A63=0,"",IF(VLOOKUP(HjArk!$D31,Tab1,13,FALSE)=0,"",VLOOKUP(HjArk!$D31,Tab1,13,FALSE)))</f>
      </c>
      <c r="N63" s="217">
        <f>IF($A63=0,"",IF(VLOOKUP(HjArk!$D31,Tab1,14,FALSE)=0,"",VLOOKUP(HjArk!$D31,Tab1,14,FALSE)))</f>
      </c>
      <c r="O63" s="217">
        <f>IF($A63=0,"",IF(VLOOKUP(HjArk!$D31,Tab1,15,FALSE)=0,"",VLOOKUP(HjArk!$D31,Tab1,15,FALSE)))</f>
      </c>
      <c r="P63" s="217">
        <f>IF($A63=0,"",IF(VLOOKUP(HjArk!$D31,Tab1,16,FALSE)=0,"",VLOOKUP(HjArk!$D31,Tab1,16,FALSE)))</f>
      </c>
      <c r="Q63" s="217">
        <f>IF($A63=0,"",IF(VLOOKUP(HjArk!$D31,Tab1,17,FALSE)=0,"",VLOOKUP(HjArk!$D31,Tab1,17,FALSE)))</f>
      </c>
      <c r="R63" s="217">
        <f>IF($A63=0,"",IF(VLOOKUP(HjArk!$D31,Tab1,18,FALSE)=0,"",VLOOKUP(HjArk!$D31,Tab1,18,FALSE)))</f>
      </c>
      <c r="S63" s="217">
        <f>IF($A63=0,"",IF(VLOOKUP(HjArk!$D31,Tab1,19,FALSE)=0,"",VLOOKUP(HjArk!$D31,Tab1,19,FALSE)))</f>
      </c>
      <c r="T63" s="217">
        <f>IF($A63=0,"",IF(VLOOKUP(HjArk!$D31,Tab1,20,FALSE)=0,"",VLOOKUP(HjArk!$D31,Tab1,20,FALSE)))</f>
      </c>
      <c r="U63" s="217">
        <f>IF($A63=0,"",IF(VLOOKUP(HjArk!$D31,Tab1,21,FALSE)=0,"",VLOOKUP(HjArk!$D31,Tab1,21,FALSE)))</f>
      </c>
      <c r="V63" s="217">
        <f>IF($A63=0,"",IF(VLOOKUP(HjArk!$D31,Tab1,22,FALSE)=0,"",VLOOKUP(HjArk!$D31,Tab1,22,FALSE)))</f>
      </c>
      <c r="W63" s="217">
        <f>IF($A63=0,"",IF(VLOOKUP(HjArk!$D31,Tab1,23,FALSE)=0,"",VLOOKUP(HjArk!$D31,Tab1,23,FALSE)))</f>
      </c>
      <c r="X63" s="217">
        <f>IF($A63=0,"",IF(VLOOKUP(HjArk!$D31,Tab1,24,FALSE)=0,"",VLOOKUP(HjArk!$D31,Tab1,24,FALSE)))</f>
      </c>
      <c r="Y63" s="217">
        <f>IF($A63=0,"",IF(VLOOKUP(HjArk!$D31,Tab1,25,FALSE)=0,"",VLOOKUP(HjArk!$D31,Tab1,25,FALSE)))</f>
      </c>
      <c r="Z63" s="217">
        <f>IF($A63=0,"",IF(VLOOKUP(HjArk!$D31,Tab1,26,FALSE)=0,"",VLOOKUP(HjArk!$D31,Tab1,26,FALSE)))</f>
      </c>
      <c r="AA63" s="217">
        <f>IF($A63=0,"",IF(VLOOKUP(HjArk!$D31,Tab1,27,FALSE)=0,"",VLOOKUP(HjArk!$D31,Tab1,27,FALSE)))</f>
      </c>
      <c r="AB63" s="217">
        <f>IF($A63=0,"",IF(VLOOKUP(HjArk!$D31,Tab1,28,FALSE)=0,"",VLOOKUP(HjArk!$D31,Tab1,28,FALSE)))</f>
      </c>
      <c r="AC63" s="217">
        <f>IF($A63=0,"",IF(VLOOKUP(HjArk!$D31,Tab1,29,FALSE)=0,"",VLOOKUP(HjArk!$D31,Tab1,29,FALSE)))</f>
      </c>
      <c r="AD63" s="217">
        <f>IF($A63=0,"",IF(VLOOKUP(HjArk!$D31,Tab1,30,FALSE)=0,"",VLOOKUP(HjArk!$D31,Tab1,30,FALSE)))</f>
      </c>
      <c r="AE63" s="217">
        <f>IF($A63=0,"",IF(VLOOKUP(HjArk!$D31,Tab1,31,FALSE)=0,"",VLOOKUP(HjArk!$D31,Tab1,31,FALSE)))</f>
      </c>
      <c r="AF63" s="217">
        <f>IF($A63=0,"",IF(VLOOKUP(HjArk!$D31,Tab1,32,FALSE)=0,"",VLOOKUP(HjArk!$D31,Tab1,32,FALSE)))</f>
      </c>
      <c r="AG63" s="217">
        <f>IF($A63=0,"",IF(VLOOKUP(HjArk!$D31,Tab1,33,FALSE)=0,"",VLOOKUP(HjArk!$D31,Tab1,33,FALSE)))</f>
      </c>
      <c r="AH63" s="217">
        <f>IF($A63=0,"",IF(VLOOKUP(HjArk!$D31,Tab1,34,FALSE)=0,"",VLOOKUP(HjArk!$D31,Tab1,34,FALSE)))</f>
      </c>
      <c r="AI63" s="217">
        <f>IF($A63=0,"",IF(VLOOKUP(HjArk!$D31,Tab1,35,FALSE)=0,"",VLOOKUP(HjArk!$D31,Tab1,35,FALSE)))</f>
      </c>
      <c r="AJ63" s="217">
        <f>IF($A63=0,"",IF(VLOOKUP(HjArk!$D31,Tab1,36,FALSE)=0,"",VLOOKUP(HjArk!$D31,Tab1,36,FALSE)))</f>
      </c>
      <c r="AK63" s="217">
        <f>IF($A63=0,"",IF(VLOOKUP(HjArk!$D31,Tab1,37,FALSE)=0,"",VLOOKUP(HjArk!$D31,Tab1,37,FALSE)))</f>
      </c>
      <c r="AL63" s="217">
        <f>IF($A63=0,"",IF(VLOOKUP(HjArk!$D31,Tab1,38,FALSE)=0,"",VLOOKUP(HjArk!$D31,Tab1,38,FALSE)))</f>
      </c>
      <c r="AM63" s="217">
        <f>IF($A63=0,"",IF(VLOOKUP(HjArk!$D31,Tab1,39,FALSE)=0,"",VLOOKUP(HjArk!$D31,Tab1,39,FALSE)))</f>
      </c>
      <c r="AN63" s="217">
        <f>IF($A63=0,"",IF(VLOOKUP(HjArk!$D31,Tab1,40,FALSE)=0,"",VLOOKUP(HjArk!$D31,Tab1,40,FALSE)))</f>
      </c>
      <c r="AO63" s="217">
        <f>IF($A63=0,"",IF(VLOOKUP(HjArk!$D31,Tab1,41,FALSE)=0,"",VLOOKUP(HjArk!$D31,Tab1,41,FALSE)))</f>
      </c>
      <c r="AP63" s="217">
        <f>IF($A63=0,"",IF(VLOOKUP(HjArk!$D31,Tab1,42,FALSE)=0,"",VLOOKUP(HjArk!$D31,Tab1,42,FALSE)))</f>
      </c>
      <c r="AQ63" s="217">
        <f>IF($A63=0,"",IF(VLOOKUP(HjArk!$D31,Tab1,43,FALSE)=0,"",VLOOKUP(HjArk!$D31,Tab1,43,FALSE)))</f>
      </c>
      <c r="AR63" s="217">
        <f>IF($A63=0,"",IF(VLOOKUP(HjArk!$D31,Tab1,44,FALSE)=0,"",VLOOKUP(HjArk!$D31,Tab1,44,FALSE)))</f>
      </c>
      <c r="AS63" s="217">
        <f>IF($A63=0,"",IF(VLOOKUP(HjArk!$D31,Tab1,45,FALSE)=0,"",VLOOKUP(HjArk!$D31,Tab1,45,FALSE)))</f>
      </c>
      <c r="AT63" s="217">
        <f>IF($A63=0,"",IF(VLOOKUP(HjArk!$D31,Tab1,46,FALSE)=0,"",VLOOKUP(HjArk!$D31,Tab1,46,FALSE)))</f>
      </c>
      <c r="AU63" s="217">
        <f>IF($A63=0,"",IF(VLOOKUP(HjArk!$D31,Tab1,47,FALSE)=0,"",VLOOKUP(HjArk!$D31,Tab1,47,FALSE)))</f>
      </c>
      <c r="AV63" s="217">
        <f>IF($A63=0,"",IF(VLOOKUP(HjArk!$D31,Tab1,48,FALSE)=0,"",VLOOKUP(HjArk!$D31,Tab1,48,FALSE)))</f>
      </c>
      <c r="AW63" s="217">
        <f>IF($A63=0,"",IF(VLOOKUP(HjArk!$D31,Tab1,49,FALSE)=0,"",VLOOKUP(HjArk!$D31,Tab1,49,FALSE)))</f>
      </c>
      <c r="AX63" s="217">
        <f>IF($A63=0,"",IF(VLOOKUP(HjArk!$D31,Tab1,50,FALSE)=0,"",VLOOKUP(HjArk!$D31,Tab1,50,FALSE)))</f>
      </c>
      <c r="AY63" s="217">
        <f>IF($A63=0,"",IF(VLOOKUP(HjArk!$D31,Tab1,51,FALSE)=0,"",VLOOKUP(HjArk!$D31,Tab1,51,FALSE)))</f>
      </c>
      <c r="AZ63" s="217">
        <f>IF($A63=0,"",IF(VLOOKUP(HjArk!$D31,Tab1,52,FALSE)=0,"",VLOOKUP(HjArk!$D31,Tab1,52,FALSE)))</f>
      </c>
      <c r="BA63" s="217">
        <f>IF($A63=0,"",IF(VLOOKUP(HjArk!$D31,Tab1,53,FALSE)=0,"",VLOOKUP(HjArk!$D31,Tab1,53,FALSE)))</f>
      </c>
      <c r="BB63" s="217">
        <f>IF($A63=0,"",IF(VLOOKUP(HjArk!$D31,Tab1,54,FALSE)=0,"",VLOOKUP(HjArk!$D31,Tab1,54,FALSE)))</f>
      </c>
      <c r="BC63" s="217">
        <f>IF($A63=0,"",IF(VLOOKUP(HjArk!$D31,Tab1,55,FALSE)=0,"",VLOOKUP(HjArk!$D31,Tab1,55,FALSE)))</f>
      </c>
      <c r="BD63" s="217">
        <f>IF($A63=0,"",IF(VLOOKUP(HjArk!$D31,Tab1,56,FALSE)=0,"",VLOOKUP(HjArk!$D31,Tab1,56,FALSE)))</f>
      </c>
      <c r="BE63" s="217">
        <f>IF($A63=0,"",IF(VLOOKUP(HjArk!$D31,Tab1,57,FALSE)=0,"",VLOOKUP(HjArk!$D31,Tab1,57,FALSE)))</f>
      </c>
      <c r="BF63" s="217">
        <f>IF($A63=0,"",IF(VLOOKUP(HjArk!$D31,Tab1,58,FALSE)=0,"",VLOOKUP(HjArk!$D31,Tab1,58,FALSE)))</f>
      </c>
      <c r="BG63" s="217">
        <f>IF($A63=0,"",IF(VLOOKUP(HjArk!$D31,Tab1,59,FALSE)=0,"",VLOOKUP(HjArk!$D31,Tab1,59,FALSE)))</f>
      </c>
      <c r="BH63" s="217">
        <f>IF($A63=0,"",IF(VLOOKUP(HjArk!$D31,Tab1,60,FALSE)=0,"",VLOOKUP(HjArk!$D31,Tab1,60,FALSE)))</f>
      </c>
      <c r="BI63" s="217">
        <f>IF($A63=0,"",IF(VLOOKUP(HjArk!$D31,Tab1,61,FALSE)=0,"",VLOOKUP(HjArk!$D31,Tab1,61,FALSE)))</f>
      </c>
      <c r="BJ63" s="217"/>
      <c r="BK63" s="217"/>
      <c r="BL63" s="218"/>
    </row>
    <row r="64" spans="1:64" ht="12.75">
      <c r="A64" s="132">
        <f>HjArk!B32</f>
        <v>0</v>
      </c>
      <c r="B64" s="216">
        <f>IF($A64=0,"",IF(VLOOKUP(HjArk!$D32,Tab1,2,FALSE)=0,"",VLOOKUP(HjArk!$D32,Tab1,2,FALSE)))</f>
      </c>
      <c r="C64" s="217">
        <f>IF($A64=0,"",IF(VLOOKUP(HjArk!$D32,Tab1,3,FALSE)=0,"",VLOOKUP(HjArk!$D32,Tab1,3,FALSE)))</f>
      </c>
      <c r="D64" s="217">
        <f>IF($A64=0,"",IF(VLOOKUP(HjArk!$D32,Tab1,4,FALSE)=0,"",VLOOKUP(HjArk!$D32,Tab1,4,FALSE)))</f>
      </c>
      <c r="E64" s="217">
        <f>IF($A64=0,"",IF(VLOOKUP(HjArk!$D32,Tab1,5,FALSE)=0,"",VLOOKUP(HjArk!$D32,Tab1,5,FALSE)))</f>
      </c>
      <c r="F64" s="217">
        <f>IF($A64=0,"",IF(VLOOKUP(HjArk!$D32,Tab1,6,FALSE)=0,"",VLOOKUP(HjArk!$D32,Tab1,6,FALSE)))</f>
      </c>
      <c r="G64" s="217">
        <f>IF($A64=0,"",IF(VLOOKUP(HjArk!$D32,Tab1,7,FALSE)=0,"",VLOOKUP(HjArk!$D32,Tab1,7,FALSE)))</f>
      </c>
      <c r="H64" s="217">
        <f>IF($A64=0,"",IF(VLOOKUP(HjArk!$D32,Tab1,8,FALSE)=0,"",VLOOKUP(HjArk!$D32,Tab1,8,FALSE)))</f>
      </c>
      <c r="I64" s="217">
        <f>IF($A64=0,"",IF(VLOOKUP(HjArk!$D32,Tab1,9,FALSE)=0,"",VLOOKUP(HjArk!$D32,Tab1,9,FALSE)))</f>
      </c>
      <c r="J64" s="217">
        <f>IF($A64=0,"",IF(VLOOKUP(HjArk!$D32,Tab1,10,FALSE)=0,"",VLOOKUP(HjArk!$D32,Tab1,10,FALSE)))</f>
      </c>
      <c r="K64" s="217">
        <f>IF($A64=0,"",IF(VLOOKUP(HjArk!$D32,Tab1,11,FALSE)=0,"",VLOOKUP(HjArk!$D32,Tab1,11,FALSE)))</f>
      </c>
      <c r="L64" s="217">
        <f>IF($A64=0,"",IF(VLOOKUP(HjArk!$D32,Tab1,12,FALSE)=0,"",VLOOKUP(HjArk!$D32,Tab1,12,FALSE)))</f>
      </c>
      <c r="M64" s="217">
        <f>IF($A64=0,"",IF(VLOOKUP(HjArk!$D32,Tab1,13,FALSE)=0,"",VLOOKUP(HjArk!$D32,Tab1,13,FALSE)))</f>
      </c>
      <c r="N64" s="217">
        <f>IF($A64=0,"",IF(VLOOKUP(HjArk!$D32,Tab1,14,FALSE)=0,"",VLOOKUP(HjArk!$D32,Tab1,14,FALSE)))</f>
      </c>
      <c r="O64" s="217">
        <f>IF($A64=0,"",IF(VLOOKUP(HjArk!$D32,Tab1,15,FALSE)=0,"",VLOOKUP(HjArk!$D32,Tab1,15,FALSE)))</f>
      </c>
      <c r="P64" s="217">
        <f>IF($A64=0,"",IF(VLOOKUP(HjArk!$D32,Tab1,16,FALSE)=0,"",VLOOKUP(HjArk!$D32,Tab1,16,FALSE)))</f>
      </c>
      <c r="Q64" s="217">
        <f>IF($A64=0,"",IF(VLOOKUP(HjArk!$D32,Tab1,17,FALSE)=0,"",VLOOKUP(HjArk!$D32,Tab1,17,FALSE)))</f>
      </c>
      <c r="R64" s="217">
        <f>IF($A64=0,"",IF(VLOOKUP(HjArk!$D32,Tab1,18,FALSE)=0,"",VLOOKUP(HjArk!$D32,Tab1,18,FALSE)))</f>
      </c>
      <c r="S64" s="217">
        <f>IF($A64=0,"",IF(VLOOKUP(HjArk!$D32,Tab1,19,FALSE)=0,"",VLOOKUP(HjArk!$D32,Tab1,19,FALSE)))</f>
      </c>
      <c r="T64" s="217">
        <f>IF($A64=0,"",IF(VLOOKUP(HjArk!$D32,Tab1,20,FALSE)=0,"",VLOOKUP(HjArk!$D32,Tab1,20,FALSE)))</f>
      </c>
      <c r="U64" s="217">
        <f>IF($A64=0,"",IF(VLOOKUP(HjArk!$D32,Tab1,21,FALSE)=0,"",VLOOKUP(HjArk!$D32,Tab1,21,FALSE)))</f>
      </c>
      <c r="V64" s="217">
        <f>IF($A64=0,"",IF(VLOOKUP(HjArk!$D32,Tab1,22,FALSE)=0,"",VLOOKUP(HjArk!$D32,Tab1,22,FALSE)))</f>
      </c>
      <c r="W64" s="217">
        <f>IF($A64=0,"",IF(VLOOKUP(HjArk!$D32,Tab1,23,FALSE)=0,"",VLOOKUP(HjArk!$D32,Tab1,23,FALSE)))</f>
      </c>
      <c r="X64" s="217">
        <f>IF($A64=0,"",IF(VLOOKUP(HjArk!$D32,Tab1,24,FALSE)=0,"",VLOOKUP(HjArk!$D32,Tab1,24,FALSE)))</f>
      </c>
      <c r="Y64" s="217">
        <f>IF($A64=0,"",IF(VLOOKUP(HjArk!$D32,Tab1,25,FALSE)=0,"",VLOOKUP(HjArk!$D32,Tab1,25,FALSE)))</f>
      </c>
      <c r="Z64" s="217">
        <f>IF($A64=0,"",IF(VLOOKUP(HjArk!$D32,Tab1,26,FALSE)=0,"",VLOOKUP(HjArk!$D32,Tab1,26,FALSE)))</f>
      </c>
      <c r="AA64" s="217">
        <f>IF($A64=0,"",IF(VLOOKUP(HjArk!$D32,Tab1,27,FALSE)=0,"",VLOOKUP(HjArk!$D32,Tab1,27,FALSE)))</f>
      </c>
      <c r="AB64" s="217">
        <f>IF($A64=0,"",IF(VLOOKUP(HjArk!$D32,Tab1,28,FALSE)=0,"",VLOOKUP(HjArk!$D32,Tab1,28,FALSE)))</f>
      </c>
      <c r="AC64" s="217">
        <f>IF($A64=0,"",IF(VLOOKUP(HjArk!$D32,Tab1,29,FALSE)=0,"",VLOOKUP(HjArk!$D32,Tab1,29,FALSE)))</f>
      </c>
      <c r="AD64" s="217">
        <f>IF($A64=0,"",IF(VLOOKUP(HjArk!$D32,Tab1,30,FALSE)=0,"",VLOOKUP(HjArk!$D32,Tab1,30,FALSE)))</f>
      </c>
      <c r="AE64" s="217">
        <f>IF($A64=0,"",IF(VLOOKUP(HjArk!$D32,Tab1,31,FALSE)=0,"",VLOOKUP(HjArk!$D32,Tab1,31,FALSE)))</f>
      </c>
      <c r="AF64" s="217">
        <f>IF($A64=0,"",IF(VLOOKUP(HjArk!$D32,Tab1,32,FALSE)=0,"",VLOOKUP(HjArk!$D32,Tab1,32,FALSE)))</f>
      </c>
      <c r="AG64" s="217">
        <f>IF($A64=0,"",IF(VLOOKUP(HjArk!$D32,Tab1,33,FALSE)=0,"",VLOOKUP(HjArk!$D32,Tab1,33,FALSE)))</f>
      </c>
      <c r="AH64" s="217">
        <f>IF($A64=0,"",IF(VLOOKUP(HjArk!$D32,Tab1,34,FALSE)=0,"",VLOOKUP(HjArk!$D32,Tab1,34,FALSE)))</f>
      </c>
      <c r="AI64" s="217">
        <f>IF($A64=0,"",IF(VLOOKUP(HjArk!$D32,Tab1,35,FALSE)=0,"",VLOOKUP(HjArk!$D32,Tab1,35,FALSE)))</f>
      </c>
      <c r="AJ64" s="217">
        <f>IF($A64=0,"",IF(VLOOKUP(HjArk!$D32,Tab1,36,FALSE)=0,"",VLOOKUP(HjArk!$D32,Tab1,36,FALSE)))</f>
      </c>
      <c r="AK64" s="217">
        <f>IF($A64=0,"",IF(VLOOKUP(HjArk!$D32,Tab1,37,FALSE)=0,"",VLOOKUP(HjArk!$D32,Tab1,37,FALSE)))</f>
      </c>
      <c r="AL64" s="217">
        <f>IF($A64=0,"",IF(VLOOKUP(HjArk!$D32,Tab1,38,FALSE)=0,"",VLOOKUP(HjArk!$D32,Tab1,38,FALSE)))</f>
      </c>
      <c r="AM64" s="217">
        <f>IF($A64=0,"",IF(VLOOKUP(HjArk!$D32,Tab1,39,FALSE)=0,"",VLOOKUP(HjArk!$D32,Tab1,39,FALSE)))</f>
      </c>
      <c r="AN64" s="217">
        <f>IF($A64=0,"",IF(VLOOKUP(HjArk!$D32,Tab1,40,FALSE)=0,"",VLOOKUP(HjArk!$D32,Tab1,40,FALSE)))</f>
      </c>
      <c r="AO64" s="217">
        <f>IF($A64=0,"",IF(VLOOKUP(HjArk!$D32,Tab1,41,FALSE)=0,"",VLOOKUP(HjArk!$D32,Tab1,41,FALSE)))</f>
      </c>
      <c r="AP64" s="217">
        <f>IF($A64=0,"",IF(VLOOKUP(HjArk!$D32,Tab1,42,FALSE)=0,"",VLOOKUP(HjArk!$D32,Tab1,42,FALSE)))</f>
      </c>
      <c r="AQ64" s="217">
        <f>IF($A64=0,"",IF(VLOOKUP(HjArk!$D32,Tab1,43,FALSE)=0,"",VLOOKUP(HjArk!$D32,Tab1,43,FALSE)))</f>
      </c>
      <c r="AR64" s="217">
        <f>IF($A64=0,"",IF(VLOOKUP(HjArk!$D32,Tab1,44,FALSE)=0,"",VLOOKUP(HjArk!$D32,Tab1,44,FALSE)))</f>
      </c>
      <c r="AS64" s="217">
        <f>IF($A64=0,"",IF(VLOOKUP(HjArk!$D32,Tab1,45,FALSE)=0,"",VLOOKUP(HjArk!$D32,Tab1,45,FALSE)))</f>
      </c>
      <c r="AT64" s="217">
        <f>IF($A64=0,"",IF(VLOOKUP(HjArk!$D32,Tab1,46,FALSE)=0,"",VLOOKUP(HjArk!$D32,Tab1,46,FALSE)))</f>
      </c>
      <c r="AU64" s="217">
        <f>IF($A64=0,"",IF(VLOOKUP(HjArk!$D32,Tab1,47,FALSE)=0,"",VLOOKUP(HjArk!$D32,Tab1,47,FALSE)))</f>
      </c>
      <c r="AV64" s="217">
        <f>IF($A64=0,"",IF(VLOOKUP(HjArk!$D32,Tab1,48,FALSE)=0,"",VLOOKUP(HjArk!$D32,Tab1,48,FALSE)))</f>
      </c>
      <c r="AW64" s="217">
        <f>IF($A64=0,"",IF(VLOOKUP(HjArk!$D32,Tab1,49,FALSE)=0,"",VLOOKUP(HjArk!$D32,Tab1,49,FALSE)))</f>
      </c>
      <c r="AX64" s="217">
        <f>IF($A64=0,"",IF(VLOOKUP(HjArk!$D32,Tab1,50,FALSE)=0,"",VLOOKUP(HjArk!$D32,Tab1,50,FALSE)))</f>
      </c>
      <c r="AY64" s="217">
        <f>IF($A64=0,"",IF(VLOOKUP(HjArk!$D32,Tab1,51,FALSE)=0,"",VLOOKUP(HjArk!$D32,Tab1,51,FALSE)))</f>
      </c>
      <c r="AZ64" s="217">
        <f>IF($A64=0,"",IF(VLOOKUP(HjArk!$D32,Tab1,52,FALSE)=0,"",VLOOKUP(HjArk!$D32,Tab1,52,FALSE)))</f>
      </c>
      <c r="BA64" s="217">
        <f>IF($A64=0,"",IF(VLOOKUP(HjArk!$D32,Tab1,53,FALSE)=0,"",VLOOKUP(HjArk!$D32,Tab1,53,FALSE)))</f>
      </c>
      <c r="BB64" s="217">
        <f>IF($A64=0,"",IF(VLOOKUP(HjArk!$D32,Tab1,54,FALSE)=0,"",VLOOKUP(HjArk!$D32,Tab1,54,FALSE)))</f>
      </c>
      <c r="BC64" s="217">
        <f>IF($A64=0,"",IF(VLOOKUP(HjArk!$D32,Tab1,55,FALSE)=0,"",VLOOKUP(HjArk!$D32,Tab1,55,FALSE)))</f>
      </c>
      <c r="BD64" s="217">
        <f>IF($A64=0,"",IF(VLOOKUP(HjArk!$D32,Tab1,56,FALSE)=0,"",VLOOKUP(HjArk!$D32,Tab1,56,FALSE)))</f>
      </c>
      <c r="BE64" s="217">
        <f>IF($A64=0,"",IF(VLOOKUP(HjArk!$D32,Tab1,57,FALSE)=0,"",VLOOKUP(HjArk!$D32,Tab1,57,FALSE)))</f>
      </c>
      <c r="BF64" s="217">
        <f>IF($A64=0,"",IF(VLOOKUP(HjArk!$D32,Tab1,58,FALSE)=0,"",VLOOKUP(HjArk!$D32,Tab1,58,FALSE)))</f>
      </c>
      <c r="BG64" s="217">
        <f>IF($A64=0,"",IF(VLOOKUP(HjArk!$D32,Tab1,59,FALSE)=0,"",VLOOKUP(HjArk!$D32,Tab1,59,FALSE)))</f>
      </c>
      <c r="BH64" s="217">
        <f>IF($A64=0,"",IF(VLOOKUP(HjArk!$D32,Tab1,60,FALSE)=0,"",VLOOKUP(HjArk!$D32,Tab1,60,FALSE)))</f>
      </c>
      <c r="BI64" s="217">
        <f>IF($A64=0,"",IF(VLOOKUP(HjArk!$D32,Tab1,61,FALSE)=0,"",VLOOKUP(HjArk!$D32,Tab1,61,FALSE)))</f>
      </c>
      <c r="BJ64" s="217"/>
      <c r="BK64" s="217"/>
      <c r="BL64" s="218"/>
    </row>
    <row r="65" spans="1:64" ht="12.75">
      <c r="A65" s="132">
        <f>HjArk!B33</f>
        <v>0</v>
      </c>
      <c r="B65" s="216">
        <f>IF($A65=0,"",IF(VLOOKUP(HjArk!$D33,Tab1,2,FALSE)=0,"",VLOOKUP(HjArk!$D33,Tab1,2,FALSE)))</f>
      </c>
      <c r="C65" s="217">
        <f>IF($A65=0,"",IF(VLOOKUP(HjArk!$D33,Tab1,3,FALSE)=0,"",VLOOKUP(HjArk!$D33,Tab1,3,FALSE)))</f>
      </c>
      <c r="D65" s="217">
        <f>IF($A65=0,"",IF(VLOOKUP(HjArk!$D33,Tab1,4,FALSE)=0,"",VLOOKUP(HjArk!$D33,Tab1,4,FALSE)))</f>
      </c>
      <c r="E65" s="217">
        <f>IF($A65=0,"",IF(VLOOKUP(HjArk!$D33,Tab1,5,FALSE)=0,"",VLOOKUP(HjArk!$D33,Tab1,5,FALSE)))</f>
      </c>
      <c r="F65" s="217">
        <f>IF($A65=0,"",IF(VLOOKUP(HjArk!$D33,Tab1,6,FALSE)=0,"",VLOOKUP(HjArk!$D33,Tab1,6,FALSE)))</f>
      </c>
      <c r="G65" s="217">
        <f>IF($A65=0,"",IF(VLOOKUP(HjArk!$D33,Tab1,7,FALSE)=0,"",VLOOKUP(HjArk!$D33,Tab1,7,FALSE)))</f>
      </c>
      <c r="H65" s="217">
        <f>IF($A65=0,"",IF(VLOOKUP(HjArk!$D33,Tab1,8,FALSE)=0,"",VLOOKUP(HjArk!$D33,Tab1,8,FALSE)))</f>
      </c>
      <c r="I65" s="217">
        <f>IF($A65=0,"",IF(VLOOKUP(HjArk!$D33,Tab1,9,FALSE)=0,"",VLOOKUP(HjArk!$D33,Tab1,9,FALSE)))</f>
      </c>
      <c r="J65" s="217">
        <f>IF($A65=0,"",IF(VLOOKUP(HjArk!$D33,Tab1,10,FALSE)=0,"",VLOOKUP(HjArk!$D33,Tab1,10,FALSE)))</f>
      </c>
      <c r="K65" s="217">
        <f>IF($A65=0,"",IF(VLOOKUP(HjArk!$D33,Tab1,11,FALSE)=0,"",VLOOKUP(HjArk!$D33,Tab1,11,FALSE)))</f>
      </c>
      <c r="L65" s="217">
        <f>IF($A65=0,"",IF(VLOOKUP(HjArk!$D33,Tab1,12,FALSE)=0,"",VLOOKUP(HjArk!$D33,Tab1,12,FALSE)))</f>
      </c>
      <c r="M65" s="217">
        <f>IF($A65=0,"",IF(VLOOKUP(HjArk!$D33,Tab1,13,FALSE)=0,"",VLOOKUP(HjArk!$D33,Tab1,13,FALSE)))</f>
      </c>
      <c r="N65" s="217">
        <f>IF($A65=0,"",IF(VLOOKUP(HjArk!$D33,Tab1,14,FALSE)=0,"",VLOOKUP(HjArk!$D33,Tab1,14,FALSE)))</f>
      </c>
      <c r="O65" s="217">
        <f>IF($A65=0,"",IF(VLOOKUP(HjArk!$D33,Tab1,15,FALSE)=0,"",VLOOKUP(HjArk!$D33,Tab1,15,FALSE)))</f>
      </c>
      <c r="P65" s="217">
        <f>IF($A65=0,"",IF(VLOOKUP(HjArk!$D33,Tab1,16,FALSE)=0,"",VLOOKUP(HjArk!$D33,Tab1,16,FALSE)))</f>
      </c>
      <c r="Q65" s="217">
        <f>IF($A65=0,"",IF(VLOOKUP(HjArk!$D33,Tab1,17,FALSE)=0,"",VLOOKUP(HjArk!$D33,Tab1,17,FALSE)))</f>
      </c>
      <c r="R65" s="217">
        <f>IF($A65=0,"",IF(VLOOKUP(HjArk!$D33,Tab1,18,FALSE)=0,"",VLOOKUP(HjArk!$D33,Tab1,18,FALSE)))</f>
      </c>
      <c r="S65" s="217">
        <f>IF($A65=0,"",IF(VLOOKUP(HjArk!$D33,Tab1,19,FALSE)=0,"",VLOOKUP(HjArk!$D33,Tab1,19,FALSE)))</f>
      </c>
      <c r="T65" s="217">
        <f>IF($A65=0,"",IF(VLOOKUP(HjArk!$D33,Tab1,20,FALSE)=0,"",VLOOKUP(HjArk!$D33,Tab1,20,FALSE)))</f>
      </c>
      <c r="U65" s="217">
        <f>IF($A65=0,"",IF(VLOOKUP(HjArk!$D33,Tab1,21,FALSE)=0,"",VLOOKUP(HjArk!$D33,Tab1,21,FALSE)))</f>
      </c>
      <c r="V65" s="217">
        <f>IF($A65=0,"",IF(VLOOKUP(HjArk!$D33,Tab1,22,FALSE)=0,"",VLOOKUP(HjArk!$D33,Tab1,22,FALSE)))</f>
      </c>
      <c r="W65" s="217">
        <f>IF($A65=0,"",IF(VLOOKUP(HjArk!$D33,Tab1,23,FALSE)=0,"",VLOOKUP(HjArk!$D33,Tab1,23,FALSE)))</f>
      </c>
      <c r="X65" s="217">
        <f>IF($A65=0,"",IF(VLOOKUP(HjArk!$D33,Tab1,24,FALSE)=0,"",VLOOKUP(HjArk!$D33,Tab1,24,FALSE)))</f>
      </c>
      <c r="Y65" s="217">
        <f>IF($A65=0,"",IF(VLOOKUP(HjArk!$D33,Tab1,25,FALSE)=0,"",VLOOKUP(HjArk!$D33,Tab1,25,FALSE)))</f>
      </c>
      <c r="Z65" s="217">
        <f>IF($A65=0,"",IF(VLOOKUP(HjArk!$D33,Tab1,26,FALSE)=0,"",VLOOKUP(HjArk!$D33,Tab1,26,FALSE)))</f>
      </c>
      <c r="AA65" s="217">
        <f>IF($A65=0,"",IF(VLOOKUP(HjArk!$D33,Tab1,27,FALSE)=0,"",VLOOKUP(HjArk!$D33,Tab1,27,FALSE)))</f>
      </c>
      <c r="AB65" s="217">
        <f>IF($A65=0,"",IF(VLOOKUP(HjArk!$D33,Tab1,28,FALSE)=0,"",VLOOKUP(HjArk!$D33,Tab1,28,FALSE)))</f>
      </c>
      <c r="AC65" s="217">
        <f>IF($A65=0,"",IF(VLOOKUP(HjArk!$D33,Tab1,29,FALSE)=0,"",VLOOKUP(HjArk!$D33,Tab1,29,FALSE)))</f>
      </c>
      <c r="AD65" s="217">
        <f>IF($A65=0,"",IF(VLOOKUP(HjArk!$D33,Tab1,30,FALSE)=0,"",VLOOKUP(HjArk!$D33,Tab1,30,FALSE)))</f>
      </c>
      <c r="AE65" s="217">
        <f>IF($A65=0,"",IF(VLOOKUP(HjArk!$D33,Tab1,31,FALSE)=0,"",VLOOKUP(HjArk!$D33,Tab1,31,FALSE)))</f>
      </c>
      <c r="AF65" s="217">
        <f>IF($A65=0,"",IF(VLOOKUP(HjArk!$D33,Tab1,32,FALSE)=0,"",VLOOKUP(HjArk!$D33,Tab1,32,FALSE)))</f>
      </c>
      <c r="AG65" s="217">
        <f>IF($A65=0,"",IF(VLOOKUP(HjArk!$D33,Tab1,33,FALSE)=0,"",VLOOKUP(HjArk!$D33,Tab1,33,FALSE)))</f>
      </c>
      <c r="AH65" s="217">
        <f>IF($A65=0,"",IF(VLOOKUP(HjArk!$D33,Tab1,34,FALSE)=0,"",VLOOKUP(HjArk!$D33,Tab1,34,FALSE)))</f>
      </c>
      <c r="AI65" s="217">
        <f>IF($A65=0,"",IF(VLOOKUP(HjArk!$D33,Tab1,35,FALSE)=0,"",VLOOKUP(HjArk!$D33,Tab1,35,FALSE)))</f>
      </c>
      <c r="AJ65" s="217">
        <f>IF($A65=0,"",IF(VLOOKUP(HjArk!$D33,Tab1,36,FALSE)=0,"",VLOOKUP(HjArk!$D33,Tab1,36,FALSE)))</f>
      </c>
      <c r="AK65" s="217">
        <f>IF($A65=0,"",IF(VLOOKUP(HjArk!$D33,Tab1,37,FALSE)=0,"",VLOOKUP(HjArk!$D33,Tab1,37,FALSE)))</f>
      </c>
      <c r="AL65" s="217">
        <f>IF($A65=0,"",IF(VLOOKUP(HjArk!$D33,Tab1,38,FALSE)=0,"",VLOOKUP(HjArk!$D33,Tab1,38,FALSE)))</f>
      </c>
      <c r="AM65" s="217">
        <f>IF($A65=0,"",IF(VLOOKUP(HjArk!$D33,Tab1,39,FALSE)=0,"",VLOOKUP(HjArk!$D33,Tab1,39,FALSE)))</f>
      </c>
      <c r="AN65" s="217">
        <f>IF($A65=0,"",IF(VLOOKUP(HjArk!$D33,Tab1,40,FALSE)=0,"",VLOOKUP(HjArk!$D33,Tab1,40,FALSE)))</f>
      </c>
      <c r="AO65" s="217">
        <f>IF($A65=0,"",IF(VLOOKUP(HjArk!$D33,Tab1,41,FALSE)=0,"",VLOOKUP(HjArk!$D33,Tab1,41,FALSE)))</f>
      </c>
      <c r="AP65" s="217">
        <f>IF($A65=0,"",IF(VLOOKUP(HjArk!$D33,Tab1,42,FALSE)=0,"",VLOOKUP(HjArk!$D33,Tab1,42,FALSE)))</f>
      </c>
      <c r="AQ65" s="217">
        <f>IF($A65=0,"",IF(VLOOKUP(HjArk!$D33,Tab1,43,FALSE)=0,"",VLOOKUP(HjArk!$D33,Tab1,43,FALSE)))</f>
      </c>
      <c r="AR65" s="217">
        <f>IF($A65=0,"",IF(VLOOKUP(HjArk!$D33,Tab1,44,FALSE)=0,"",VLOOKUP(HjArk!$D33,Tab1,44,FALSE)))</f>
      </c>
      <c r="AS65" s="217">
        <f>IF($A65=0,"",IF(VLOOKUP(HjArk!$D33,Tab1,45,FALSE)=0,"",VLOOKUP(HjArk!$D33,Tab1,45,FALSE)))</f>
      </c>
      <c r="AT65" s="217">
        <f>IF($A65=0,"",IF(VLOOKUP(HjArk!$D33,Tab1,46,FALSE)=0,"",VLOOKUP(HjArk!$D33,Tab1,46,FALSE)))</f>
      </c>
      <c r="AU65" s="217">
        <f>IF($A65=0,"",IF(VLOOKUP(HjArk!$D33,Tab1,47,FALSE)=0,"",VLOOKUP(HjArk!$D33,Tab1,47,FALSE)))</f>
      </c>
      <c r="AV65" s="217">
        <f>IF($A65=0,"",IF(VLOOKUP(HjArk!$D33,Tab1,48,FALSE)=0,"",VLOOKUP(HjArk!$D33,Tab1,48,FALSE)))</f>
      </c>
      <c r="AW65" s="217">
        <f>IF($A65=0,"",IF(VLOOKUP(HjArk!$D33,Tab1,49,FALSE)=0,"",VLOOKUP(HjArk!$D33,Tab1,49,FALSE)))</f>
      </c>
      <c r="AX65" s="217">
        <f>IF($A65=0,"",IF(VLOOKUP(HjArk!$D33,Tab1,50,FALSE)=0,"",VLOOKUP(HjArk!$D33,Tab1,50,FALSE)))</f>
      </c>
      <c r="AY65" s="217">
        <f>IF($A65=0,"",IF(VLOOKUP(HjArk!$D33,Tab1,51,FALSE)=0,"",VLOOKUP(HjArk!$D33,Tab1,51,FALSE)))</f>
      </c>
      <c r="AZ65" s="217">
        <f>IF($A65=0,"",IF(VLOOKUP(HjArk!$D33,Tab1,52,FALSE)=0,"",VLOOKUP(HjArk!$D33,Tab1,52,FALSE)))</f>
      </c>
      <c r="BA65" s="217">
        <f>IF($A65=0,"",IF(VLOOKUP(HjArk!$D33,Tab1,53,FALSE)=0,"",VLOOKUP(HjArk!$D33,Tab1,53,FALSE)))</f>
      </c>
      <c r="BB65" s="217">
        <f>IF($A65=0,"",IF(VLOOKUP(HjArk!$D33,Tab1,54,FALSE)=0,"",VLOOKUP(HjArk!$D33,Tab1,54,FALSE)))</f>
      </c>
      <c r="BC65" s="217">
        <f>IF($A65=0,"",IF(VLOOKUP(HjArk!$D33,Tab1,55,FALSE)=0,"",VLOOKUP(HjArk!$D33,Tab1,55,FALSE)))</f>
      </c>
      <c r="BD65" s="217">
        <f>IF($A65=0,"",IF(VLOOKUP(HjArk!$D33,Tab1,56,FALSE)=0,"",VLOOKUP(HjArk!$D33,Tab1,56,FALSE)))</f>
      </c>
      <c r="BE65" s="217">
        <f>IF($A65=0,"",IF(VLOOKUP(HjArk!$D33,Tab1,57,FALSE)=0,"",VLOOKUP(HjArk!$D33,Tab1,57,FALSE)))</f>
      </c>
      <c r="BF65" s="217">
        <f>IF($A65=0,"",IF(VLOOKUP(HjArk!$D33,Tab1,58,FALSE)=0,"",VLOOKUP(HjArk!$D33,Tab1,58,FALSE)))</f>
      </c>
      <c r="BG65" s="217">
        <f>IF($A65=0,"",IF(VLOOKUP(HjArk!$D33,Tab1,59,FALSE)=0,"",VLOOKUP(HjArk!$D33,Tab1,59,FALSE)))</f>
      </c>
      <c r="BH65" s="217">
        <f>IF($A65=0,"",IF(VLOOKUP(HjArk!$D33,Tab1,60,FALSE)=0,"",VLOOKUP(HjArk!$D33,Tab1,60,FALSE)))</f>
      </c>
      <c r="BI65" s="217">
        <f>IF($A65=0,"",IF(VLOOKUP(HjArk!$D33,Tab1,61,FALSE)=0,"",VLOOKUP(HjArk!$D33,Tab1,61,FALSE)))</f>
      </c>
      <c r="BJ65" s="217"/>
      <c r="BK65" s="217"/>
      <c r="BL65" s="218"/>
    </row>
    <row r="66" spans="1:64" ht="12.75">
      <c r="A66" s="132">
        <f>HjArk!B34</f>
        <v>0</v>
      </c>
      <c r="B66" s="216">
        <f>IF($A66=0,"",IF(VLOOKUP(HjArk!$D34,Tab1,2,FALSE)=0,"",VLOOKUP(HjArk!$D34,Tab1,2,FALSE)))</f>
      </c>
      <c r="C66" s="217">
        <f>IF($A66=0,"",IF(VLOOKUP(HjArk!$D34,Tab1,3,FALSE)=0,"",VLOOKUP(HjArk!$D34,Tab1,3,FALSE)))</f>
      </c>
      <c r="D66" s="217">
        <f>IF($A66=0,"",IF(VLOOKUP(HjArk!$D34,Tab1,4,FALSE)=0,"",VLOOKUP(HjArk!$D34,Tab1,4,FALSE)))</f>
      </c>
      <c r="E66" s="217">
        <f>IF($A66=0,"",IF(VLOOKUP(HjArk!$D34,Tab1,5,FALSE)=0,"",VLOOKUP(HjArk!$D34,Tab1,5,FALSE)))</f>
      </c>
      <c r="F66" s="217">
        <f>IF($A66=0,"",IF(VLOOKUP(HjArk!$D34,Tab1,6,FALSE)=0,"",VLOOKUP(HjArk!$D34,Tab1,6,FALSE)))</f>
      </c>
      <c r="G66" s="217">
        <f>IF($A66=0,"",IF(VLOOKUP(HjArk!$D34,Tab1,7,FALSE)=0,"",VLOOKUP(HjArk!$D34,Tab1,7,FALSE)))</f>
      </c>
      <c r="H66" s="217">
        <f>IF($A66=0,"",IF(VLOOKUP(HjArk!$D34,Tab1,8,FALSE)=0,"",VLOOKUP(HjArk!$D34,Tab1,8,FALSE)))</f>
      </c>
      <c r="I66" s="217">
        <f>IF($A66=0,"",IF(VLOOKUP(HjArk!$D34,Tab1,9,FALSE)=0,"",VLOOKUP(HjArk!$D34,Tab1,9,FALSE)))</f>
      </c>
      <c r="J66" s="217">
        <f>IF($A66=0,"",IF(VLOOKUP(HjArk!$D34,Tab1,10,FALSE)=0,"",VLOOKUP(HjArk!$D34,Tab1,10,FALSE)))</f>
      </c>
      <c r="K66" s="217">
        <f>IF($A66=0,"",IF(VLOOKUP(HjArk!$D34,Tab1,11,FALSE)=0,"",VLOOKUP(HjArk!$D34,Tab1,11,FALSE)))</f>
      </c>
      <c r="L66" s="217">
        <f>IF($A66=0,"",IF(VLOOKUP(HjArk!$D34,Tab1,12,FALSE)=0,"",VLOOKUP(HjArk!$D34,Tab1,12,FALSE)))</f>
      </c>
      <c r="M66" s="217">
        <f>IF($A66=0,"",IF(VLOOKUP(HjArk!$D34,Tab1,13,FALSE)=0,"",VLOOKUP(HjArk!$D34,Tab1,13,FALSE)))</f>
      </c>
      <c r="N66" s="217">
        <f>IF($A66=0,"",IF(VLOOKUP(HjArk!$D34,Tab1,14,FALSE)=0,"",VLOOKUP(HjArk!$D34,Tab1,14,FALSE)))</f>
      </c>
      <c r="O66" s="217">
        <f>IF($A66=0,"",IF(VLOOKUP(HjArk!$D34,Tab1,15,FALSE)=0,"",VLOOKUP(HjArk!$D34,Tab1,15,FALSE)))</f>
      </c>
      <c r="P66" s="217">
        <f>IF($A66=0,"",IF(VLOOKUP(HjArk!$D34,Tab1,16,FALSE)=0,"",VLOOKUP(HjArk!$D34,Tab1,16,FALSE)))</f>
      </c>
      <c r="Q66" s="217">
        <f>IF($A66=0,"",IF(VLOOKUP(HjArk!$D34,Tab1,17,FALSE)=0,"",VLOOKUP(HjArk!$D34,Tab1,17,FALSE)))</f>
      </c>
      <c r="R66" s="217">
        <f>IF($A66=0,"",IF(VLOOKUP(HjArk!$D34,Tab1,18,FALSE)=0,"",VLOOKUP(HjArk!$D34,Tab1,18,FALSE)))</f>
      </c>
      <c r="S66" s="217">
        <f>IF($A66=0,"",IF(VLOOKUP(HjArk!$D34,Tab1,19,FALSE)=0,"",VLOOKUP(HjArk!$D34,Tab1,19,FALSE)))</f>
      </c>
      <c r="T66" s="217">
        <f>IF($A66=0,"",IF(VLOOKUP(HjArk!$D34,Tab1,20,FALSE)=0,"",VLOOKUP(HjArk!$D34,Tab1,20,FALSE)))</f>
      </c>
      <c r="U66" s="217">
        <f>IF($A66=0,"",IF(VLOOKUP(HjArk!$D34,Tab1,21,FALSE)=0,"",VLOOKUP(HjArk!$D34,Tab1,21,FALSE)))</f>
      </c>
      <c r="V66" s="217">
        <f>IF($A66=0,"",IF(VLOOKUP(HjArk!$D34,Tab1,22,FALSE)=0,"",VLOOKUP(HjArk!$D34,Tab1,22,FALSE)))</f>
      </c>
      <c r="W66" s="217">
        <f>IF($A66=0,"",IF(VLOOKUP(HjArk!$D34,Tab1,23,FALSE)=0,"",VLOOKUP(HjArk!$D34,Tab1,23,FALSE)))</f>
      </c>
      <c r="X66" s="217">
        <f>IF($A66=0,"",IF(VLOOKUP(HjArk!$D34,Tab1,24,FALSE)=0,"",VLOOKUP(HjArk!$D34,Tab1,24,FALSE)))</f>
      </c>
      <c r="Y66" s="217">
        <f>IF($A66=0,"",IF(VLOOKUP(HjArk!$D34,Tab1,25,FALSE)=0,"",VLOOKUP(HjArk!$D34,Tab1,25,FALSE)))</f>
      </c>
      <c r="Z66" s="217">
        <f>IF($A66=0,"",IF(VLOOKUP(HjArk!$D34,Tab1,26,FALSE)=0,"",VLOOKUP(HjArk!$D34,Tab1,26,FALSE)))</f>
      </c>
      <c r="AA66" s="217">
        <f>IF($A66=0,"",IF(VLOOKUP(HjArk!$D34,Tab1,27,FALSE)=0,"",VLOOKUP(HjArk!$D34,Tab1,27,FALSE)))</f>
      </c>
      <c r="AB66" s="217">
        <f>IF($A66=0,"",IF(VLOOKUP(HjArk!$D34,Tab1,28,FALSE)=0,"",VLOOKUP(HjArk!$D34,Tab1,28,FALSE)))</f>
      </c>
      <c r="AC66" s="217">
        <f>IF($A66=0,"",IF(VLOOKUP(HjArk!$D34,Tab1,29,FALSE)=0,"",VLOOKUP(HjArk!$D34,Tab1,29,FALSE)))</f>
      </c>
      <c r="AD66" s="217">
        <f>IF($A66=0,"",IF(VLOOKUP(HjArk!$D34,Tab1,30,FALSE)=0,"",VLOOKUP(HjArk!$D34,Tab1,30,FALSE)))</f>
      </c>
      <c r="AE66" s="217">
        <f>IF($A66=0,"",IF(VLOOKUP(HjArk!$D34,Tab1,31,FALSE)=0,"",VLOOKUP(HjArk!$D34,Tab1,31,FALSE)))</f>
      </c>
      <c r="AF66" s="217">
        <f>IF($A66=0,"",IF(VLOOKUP(HjArk!$D34,Tab1,32,FALSE)=0,"",VLOOKUP(HjArk!$D34,Tab1,32,FALSE)))</f>
      </c>
      <c r="AG66" s="217">
        <f>IF($A66=0,"",IF(VLOOKUP(HjArk!$D34,Tab1,33,FALSE)=0,"",VLOOKUP(HjArk!$D34,Tab1,33,FALSE)))</f>
      </c>
      <c r="AH66" s="217">
        <f>IF($A66=0,"",IF(VLOOKUP(HjArk!$D34,Tab1,34,FALSE)=0,"",VLOOKUP(HjArk!$D34,Tab1,34,FALSE)))</f>
      </c>
      <c r="AI66" s="217">
        <f>IF($A66=0,"",IF(VLOOKUP(HjArk!$D34,Tab1,35,FALSE)=0,"",VLOOKUP(HjArk!$D34,Tab1,35,FALSE)))</f>
      </c>
      <c r="AJ66" s="217">
        <f>IF($A66=0,"",IF(VLOOKUP(HjArk!$D34,Tab1,36,FALSE)=0,"",VLOOKUP(HjArk!$D34,Tab1,36,FALSE)))</f>
      </c>
      <c r="AK66" s="217">
        <f>IF($A66=0,"",IF(VLOOKUP(HjArk!$D34,Tab1,37,FALSE)=0,"",VLOOKUP(HjArk!$D34,Tab1,37,FALSE)))</f>
      </c>
      <c r="AL66" s="217">
        <f>IF($A66=0,"",IF(VLOOKUP(HjArk!$D34,Tab1,38,FALSE)=0,"",VLOOKUP(HjArk!$D34,Tab1,38,FALSE)))</f>
      </c>
      <c r="AM66" s="217">
        <f>IF($A66=0,"",IF(VLOOKUP(HjArk!$D34,Tab1,39,FALSE)=0,"",VLOOKUP(HjArk!$D34,Tab1,39,FALSE)))</f>
      </c>
      <c r="AN66" s="217">
        <f>IF($A66=0,"",IF(VLOOKUP(HjArk!$D34,Tab1,40,FALSE)=0,"",VLOOKUP(HjArk!$D34,Tab1,40,FALSE)))</f>
      </c>
      <c r="AO66" s="217">
        <f>IF($A66=0,"",IF(VLOOKUP(HjArk!$D34,Tab1,41,FALSE)=0,"",VLOOKUP(HjArk!$D34,Tab1,41,FALSE)))</f>
      </c>
      <c r="AP66" s="217">
        <f>IF($A66=0,"",IF(VLOOKUP(HjArk!$D34,Tab1,42,FALSE)=0,"",VLOOKUP(HjArk!$D34,Tab1,42,FALSE)))</f>
      </c>
      <c r="AQ66" s="217">
        <f>IF($A66=0,"",IF(VLOOKUP(HjArk!$D34,Tab1,43,FALSE)=0,"",VLOOKUP(HjArk!$D34,Tab1,43,FALSE)))</f>
      </c>
      <c r="AR66" s="217">
        <f>IF($A66=0,"",IF(VLOOKUP(HjArk!$D34,Tab1,44,FALSE)=0,"",VLOOKUP(HjArk!$D34,Tab1,44,FALSE)))</f>
      </c>
      <c r="AS66" s="217">
        <f>IF($A66=0,"",IF(VLOOKUP(HjArk!$D34,Tab1,45,FALSE)=0,"",VLOOKUP(HjArk!$D34,Tab1,45,FALSE)))</f>
      </c>
      <c r="AT66" s="217">
        <f>IF($A66=0,"",IF(VLOOKUP(HjArk!$D34,Tab1,46,FALSE)=0,"",VLOOKUP(HjArk!$D34,Tab1,46,FALSE)))</f>
      </c>
      <c r="AU66" s="217">
        <f>IF($A66=0,"",IF(VLOOKUP(HjArk!$D34,Tab1,47,FALSE)=0,"",VLOOKUP(HjArk!$D34,Tab1,47,FALSE)))</f>
      </c>
      <c r="AV66" s="217">
        <f>IF($A66=0,"",IF(VLOOKUP(HjArk!$D34,Tab1,48,FALSE)=0,"",VLOOKUP(HjArk!$D34,Tab1,48,FALSE)))</f>
      </c>
      <c r="AW66" s="217">
        <f>IF($A66=0,"",IF(VLOOKUP(HjArk!$D34,Tab1,49,FALSE)=0,"",VLOOKUP(HjArk!$D34,Tab1,49,FALSE)))</f>
      </c>
      <c r="AX66" s="217">
        <f>IF($A66=0,"",IF(VLOOKUP(HjArk!$D34,Tab1,50,FALSE)=0,"",VLOOKUP(HjArk!$D34,Tab1,50,FALSE)))</f>
      </c>
      <c r="AY66" s="217">
        <f>IF($A66=0,"",IF(VLOOKUP(HjArk!$D34,Tab1,51,FALSE)=0,"",VLOOKUP(HjArk!$D34,Tab1,51,FALSE)))</f>
      </c>
      <c r="AZ66" s="217">
        <f>IF($A66=0,"",IF(VLOOKUP(HjArk!$D34,Tab1,52,FALSE)=0,"",VLOOKUP(HjArk!$D34,Tab1,52,FALSE)))</f>
      </c>
      <c r="BA66" s="217">
        <f>IF($A66=0,"",IF(VLOOKUP(HjArk!$D34,Tab1,53,FALSE)=0,"",VLOOKUP(HjArk!$D34,Tab1,53,FALSE)))</f>
      </c>
      <c r="BB66" s="217">
        <f>IF($A66=0,"",IF(VLOOKUP(HjArk!$D34,Tab1,54,FALSE)=0,"",VLOOKUP(HjArk!$D34,Tab1,54,FALSE)))</f>
      </c>
      <c r="BC66" s="217">
        <f>IF($A66=0,"",IF(VLOOKUP(HjArk!$D34,Tab1,55,FALSE)=0,"",VLOOKUP(HjArk!$D34,Tab1,55,FALSE)))</f>
      </c>
      <c r="BD66" s="217">
        <f>IF($A66=0,"",IF(VLOOKUP(HjArk!$D34,Tab1,56,FALSE)=0,"",VLOOKUP(HjArk!$D34,Tab1,56,FALSE)))</f>
      </c>
      <c r="BE66" s="217">
        <f>IF($A66=0,"",IF(VLOOKUP(HjArk!$D34,Tab1,57,FALSE)=0,"",VLOOKUP(HjArk!$D34,Tab1,57,FALSE)))</f>
      </c>
      <c r="BF66" s="217">
        <f>IF($A66=0,"",IF(VLOOKUP(HjArk!$D34,Tab1,58,FALSE)=0,"",VLOOKUP(HjArk!$D34,Tab1,58,FALSE)))</f>
      </c>
      <c r="BG66" s="217">
        <f>IF($A66=0,"",IF(VLOOKUP(HjArk!$D34,Tab1,59,FALSE)=0,"",VLOOKUP(HjArk!$D34,Tab1,59,FALSE)))</f>
      </c>
      <c r="BH66" s="217">
        <f>IF($A66=0,"",IF(VLOOKUP(HjArk!$D34,Tab1,60,FALSE)=0,"",VLOOKUP(HjArk!$D34,Tab1,60,FALSE)))</f>
      </c>
      <c r="BI66" s="217">
        <f>IF($A66=0,"",IF(VLOOKUP(HjArk!$D34,Tab1,61,FALSE)=0,"",VLOOKUP(HjArk!$D34,Tab1,61,FALSE)))</f>
      </c>
      <c r="BJ66" s="217"/>
      <c r="BK66" s="217"/>
      <c r="BL66" s="218"/>
    </row>
    <row r="67" spans="1:64" ht="12.75">
      <c r="A67" s="132">
        <f>HjArk!B35</f>
        <v>0</v>
      </c>
      <c r="B67" s="216">
        <f>IF($A67=0,"",IF(VLOOKUP(HjArk!$D35,Tab1,2,FALSE)=0,"",VLOOKUP(HjArk!$D35,Tab1,2,FALSE)))</f>
      </c>
      <c r="C67" s="217">
        <f>IF($A67=0,"",IF(VLOOKUP(HjArk!$D35,Tab1,3,FALSE)=0,"",VLOOKUP(HjArk!$D35,Tab1,3,FALSE)))</f>
      </c>
      <c r="D67" s="217">
        <f>IF($A67=0,"",IF(VLOOKUP(HjArk!$D35,Tab1,4,FALSE)=0,"",VLOOKUP(HjArk!$D35,Tab1,4,FALSE)))</f>
      </c>
      <c r="E67" s="217">
        <f>IF($A67=0,"",IF(VLOOKUP(HjArk!$D35,Tab1,5,FALSE)=0,"",VLOOKUP(HjArk!$D35,Tab1,5,FALSE)))</f>
      </c>
      <c r="F67" s="217">
        <f>IF($A67=0,"",IF(VLOOKUP(HjArk!$D35,Tab1,6,FALSE)=0,"",VLOOKUP(HjArk!$D35,Tab1,6,FALSE)))</f>
      </c>
      <c r="G67" s="217">
        <f>IF($A67=0,"",IF(VLOOKUP(HjArk!$D35,Tab1,7,FALSE)=0,"",VLOOKUP(HjArk!$D35,Tab1,7,FALSE)))</f>
      </c>
      <c r="H67" s="217">
        <f>IF($A67=0,"",IF(VLOOKUP(HjArk!$D35,Tab1,8,FALSE)=0,"",VLOOKUP(HjArk!$D35,Tab1,8,FALSE)))</f>
      </c>
      <c r="I67" s="217">
        <f>IF($A67=0,"",IF(VLOOKUP(HjArk!$D35,Tab1,9,FALSE)=0,"",VLOOKUP(HjArk!$D35,Tab1,9,FALSE)))</f>
      </c>
      <c r="J67" s="217">
        <f>IF($A67=0,"",IF(VLOOKUP(HjArk!$D35,Tab1,10,FALSE)=0,"",VLOOKUP(HjArk!$D35,Tab1,10,FALSE)))</f>
      </c>
      <c r="K67" s="217">
        <f>IF($A67=0,"",IF(VLOOKUP(HjArk!$D35,Tab1,11,FALSE)=0,"",VLOOKUP(HjArk!$D35,Tab1,11,FALSE)))</f>
      </c>
      <c r="L67" s="217">
        <f>IF($A67=0,"",IF(VLOOKUP(HjArk!$D35,Tab1,12,FALSE)=0,"",VLOOKUP(HjArk!$D35,Tab1,12,FALSE)))</f>
      </c>
      <c r="M67" s="217">
        <f>IF($A67=0,"",IF(VLOOKUP(HjArk!$D35,Tab1,13,FALSE)=0,"",VLOOKUP(HjArk!$D35,Tab1,13,FALSE)))</f>
      </c>
      <c r="N67" s="217">
        <f>IF($A67=0,"",IF(VLOOKUP(HjArk!$D35,Tab1,14,FALSE)=0,"",VLOOKUP(HjArk!$D35,Tab1,14,FALSE)))</f>
      </c>
      <c r="O67" s="217">
        <f>IF($A67=0,"",IF(VLOOKUP(HjArk!$D35,Tab1,15,FALSE)=0,"",VLOOKUP(HjArk!$D35,Tab1,15,FALSE)))</f>
      </c>
      <c r="P67" s="217">
        <f>IF($A67=0,"",IF(VLOOKUP(HjArk!$D35,Tab1,16,FALSE)=0,"",VLOOKUP(HjArk!$D35,Tab1,16,FALSE)))</f>
      </c>
      <c r="Q67" s="217">
        <f>IF($A67=0,"",IF(VLOOKUP(HjArk!$D35,Tab1,17,FALSE)=0,"",VLOOKUP(HjArk!$D35,Tab1,17,FALSE)))</f>
      </c>
      <c r="R67" s="217">
        <f>IF($A67=0,"",IF(VLOOKUP(HjArk!$D35,Tab1,18,FALSE)=0,"",VLOOKUP(HjArk!$D35,Tab1,18,FALSE)))</f>
      </c>
      <c r="S67" s="217">
        <f>IF($A67=0,"",IF(VLOOKUP(HjArk!$D35,Tab1,19,FALSE)=0,"",VLOOKUP(HjArk!$D35,Tab1,19,FALSE)))</f>
      </c>
      <c r="T67" s="217">
        <f>IF($A67=0,"",IF(VLOOKUP(HjArk!$D35,Tab1,20,FALSE)=0,"",VLOOKUP(HjArk!$D35,Tab1,20,FALSE)))</f>
      </c>
      <c r="U67" s="217">
        <f>IF($A67=0,"",IF(VLOOKUP(HjArk!$D35,Tab1,21,FALSE)=0,"",VLOOKUP(HjArk!$D35,Tab1,21,FALSE)))</f>
      </c>
      <c r="V67" s="217">
        <f>IF($A67=0,"",IF(VLOOKUP(HjArk!$D35,Tab1,22,FALSE)=0,"",VLOOKUP(HjArk!$D35,Tab1,22,FALSE)))</f>
      </c>
      <c r="W67" s="217">
        <f>IF($A67=0,"",IF(VLOOKUP(HjArk!$D35,Tab1,23,FALSE)=0,"",VLOOKUP(HjArk!$D35,Tab1,23,FALSE)))</f>
      </c>
      <c r="X67" s="217">
        <f>IF($A67=0,"",IF(VLOOKUP(HjArk!$D35,Tab1,24,FALSE)=0,"",VLOOKUP(HjArk!$D35,Tab1,24,FALSE)))</f>
      </c>
      <c r="Y67" s="217">
        <f>IF($A67=0,"",IF(VLOOKUP(HjArk!$D35,Tab1,25,FALSE)=0,"",VLOOKUP(HjArk!$D35,Tab1,25,FALSE)))</f>
      </c>
      <c r="Z67" s="217">
        <f>IF($A67=0,"",IF(VLOOKUP(HjArk!$D35,Tab1,26,FALSE)=0,"",VLOOKUP(HjArk!$D35,Tab1,26,FALSE)))</f>
      </c>
      <c r="AA67" s="217">
        <f>IF($A67=0,"",IF(VLOOKUP(HjArk!$D35,Tab1,27,FALSE)=0,"",VLOOKUP(HjArk!$D35,Tab1,27,FALSE)))</f>
      </c>
      <c r="AB67" s="217">
        <f>IF($A67=0,"",IF(VLOOKUP(HjArk!$D35,Tab1,28,FALSE)=0,"",VLOOKUP(HjArk!$D35,Tab1,28,FALSE)))</f>
      </c>
      <c r="AC67" s="217">
        <f>IF($A67=0,"",IF(VLOOKUP(HjArk!$D35,Tab1,29,FALSE)=0,"",VLOOKUP(HjArk!$D35,Tab1,29,FALSE)))</f>
      </c>
      <c r="AD67" s="217">
        <f>IF($A67=0,"",IF(VLOOKUP(HjArk!$D35,Tab1,30,FALSE)=0,"",VLOOKUP(HjArk!$D35,Tab1,30,FALSE)))</f>
      </c>
      <c r="AE67" s="217">
        <f>IF($A67=0,"",IF(VLOOKUP(HjArk!$D35,Tab1,31,FALSE)=0,"",VLOOKUP(HjArk!$D35,Tab1,31,FALSE)))</f>
      </c>
      <c r="AF67" s="217">
        <f>IF($A67=0,"",IF(VLOOKUP(HjArk!$D35,Tab1,32,FALSE)=0,"",VLOOKUP(HjArk!$D35,Tab1,32,FALSE)))</f>
      </c>
      <c r="AG67" s="217">
        <f>IF($A67=0,"",IF(VLOOKUP(HjArk!$D35,Tab1,33,FALSE)=0,"",VLOOKUP(HjArk!$D35,Tab1,33,FALSE)))</f>
      </c>
      <c r="AH67" s="217">
        <f>IF($A67=0,"",IF(VLOOKUP(HjArk!$D35,Tab1,34,FALSE)=0,"",VLOOKUP(HjArk!$D35,Tab1,34,FALSE)))</f>
      </c>
      <c r="AI67" s="217">
        <f>IF($A67=0,"",IF(VLOOKUP(HjArk!$D35,Tab1,35,FALSE)=0,"",VLOOKUP(HjArk!$D35,Tab1,35,FALSE)))</f>
      </c>
      <c r="AJ67" s="217">
        <f>IF($A67=0,"",IF(VLOOKUP(HjArk!$D35,Tab1,36,FALSE)=0,"",VLOOKUP(HjArk!$D35,Tab1,36,FALSE)))</f>
      </c>
      <c r="AK67" s="217">
        <f>IF($A67=0,"",IF(VLOOKUP(HjArk!$D35,Tab1,37,FALSE)=0,"",VLOOKUP(HjArk!$D35,Tab1,37,FALSE)))</f>
      </c>
      <c r="AL67" s="217">
        <f>IF($A67=0,"",IF(VLOOKUP(HjArk!$D35,Tab1,38,FALSE)=0,"",VLOOKUP(HjArk!$D35,Tab1,38,FALSE)))</f>
      </c>
      <c r="AM67" s="217">
        <f>IF($A67=0,"",IF(VLOOKUP(HjArk!$D35,Tab1,39,FALSE)=0,"",VLOOKUP(HjArk!$D35,Tab1,39,FALSE)))</f>
      </c>
      <c r="AN67" s="217">
        <f>IF($A67=0,"",IF(VLOOKUP(HjArk!$D35,Tab1,40,FALSE)=0,"",VLOOKUP(HjArk!$D35,Tab1,40,FALSE)))</f>
      </c>
      <c r="AO67" s="217">
        <f>IF($A67=0,"",IF(VLOOKUP(HjArk!$D35,Tab1,41,FALSE)=0,"",VLOOKUP(HjArk!$D35,Tab1,41,FALSE)))</f>
      </c>
      <c r="AP67" s="217">
        <f>IF($A67=0,"",IF(VLOOKUP(HjArk!$D35,Tab1,42,FALSE)=0,"",VLOOKUP(HjArk!$D35,Tab1,42,FALSE)))</f>
      </c>
      <c r="AQ67" s="217">
        <f>IF($A67=0,"",IF(VLOOKUP(HjArk!$D35,Tab1,43,FALSE)=0,"",VLOOKUP(HjArk!$D35,Tab1,43,FALSE)))</f>
      </c>
      <c r="AR67" s="217">
        <f>IF($A67=0,"",IF(VLOOKUP(HjArk!$D35,Tab1,44,FALSE)=0,"",VLOOKUP(HjArk!$D35,Tab1,44,FALSE)))</f>
      </c>
      <c r="AS67" s="217">
        <f>IF($A67=0,"",IF(VLOOKUP(HjArk!$D35,Tab1,45,FALSE)=0,"",VLOOKUP(HjArk!$D35,Tab1,45,FALSE)))</f>
      </c>
      <c r="AT67" s="217">
        <f>IF($A67=0,"",IF(VLOOKUP(HjArk!$D35,Tab1,46,FALSE)=0,"",VLOOKUP(HjArk!$D35,Tab1,46,FALSE)))</f>
      </c>
      <c r="AU67" s="217">
        <f>IF($A67=0,"",IF(VLOOKUP(HjArk!$D35,Tab1,47,FALSE)=0,"",VLOOKUP(HjArk!$D35,Tab1,47,FALSE)))</f>
      </c>
      <c r="AV67" s="217">
        <f>IF($A67=0,"",IF(VLOOKUP(HjArk!$D35,Tab1,48,FALSE)=0,"",VLOOKUP(HjArk!$D35,Tab1,48,FALSE)))</f>
      </c>
      <c r="AW67" s="217">
        <f>IF($A67=0,"",IF(VLOOKUP(HjArk!$D35,Tab1,49,FALSE)=0,"",VLOOKUP(HjArk!$D35,Tab1,49,FALSE)))</f>
      </c>
      <c r="AX67" s="217">
        <f>IF($A67=0,"",IF(VLOOKUP(HjArk!$D35,Tab1,50,FALSE)=0,"",VLOOKUP(HjArk!$D35,Tab1,50,FALSE)))</f>
      </c>
      <c r="AY67" s="217">
        <f>IF($A67=0,"",IF(VLOOKUP(HjArk!$D35,Tab1,51,FALSE)=0,"",VLOOKUP(HjArk!$D35,Tab1,51,FALSE)))</f>
      </c>
      <c r="AZ67" s="217">
        <f>IF($A67=0,"",IF(VLOOKUP(HjArk!$D35,Tab1,52,FALSE)=0,"",VLOOKUP(HjArk!$D35,Tab1,52,FALSE)))</f>
      </c>
      <c r="BA67" s="217">
        <f>IF($A67=0,"",IF(VLOOKUP(HjArk!$D35,Tab1,53,FALSE)=0,"",VLOOKUP(HjArk!$D35,Tab1,53,FALSE)))</f>
      </c>
      <c r="BB67" s="217">
        <f>IF($A67=0,"",IF(VLOOKUP(HjArk!$D35,Tab1,54,FALSE)=0,"",VLOOKUP(HjArk!$D35,Tab1,54,FALSE)))</f>
      </c>
      <c r="BC67" s="217">
        <f>IF($A67=0,"",IF(VLOOKUP(HjArk!$D35,Tab1,55,FALSE)=0,"",VLOOKUP(HjArk!$D35,Tab1,55,FALSE)))</f>
      </c>
      <c r="BD67" s="217">
        <f>IF($A67=0,"",IF(VLOOKUP(HjArk!$D35,Tab1,56,FALSE)=0,"",VLOOKUP(HjArk!$D35,Tab1,56,FALSE)))</f>
      </c>
      <c r="BE67" s="217">
        <f>IF($A67=0,"",IF(VLOOKUP(HjArk!$D35,Tab1,57,FALSE)=0,"",VLOOKUP(HjArk!$D35,Tab1,57,FALSE)))</f>
      </c>
      <c r="BF67" s="217">
        <f>IF($A67=0,"",IF(VLOOKUP(HjArk!$D35,Tab1,58,FALSE)=0,"",VLOOKUP(HjArk!$D35,Tab1,58,FALSE)))</f>
      </c>
      <c r="BG67" s="217">
        <f>IF($A67=0,"",IF(VLOOKUP(HjArk!$D35,Tab1,59,FALSE)=0,"",VLOOKUP(HjArk!$D35,Tab1,59,FALSE)))</f>
      </c>
      <c r="BH67" s="217">
        <f>IF($A67=0,"",IF(VLOOKUP(HjArk!$D35,Tab1,60,FALSE)=0,"",VLOOKUP(HjArk!$D35,Tab1,60,FALSE)))</f>
      </c>
      <c r="BI67" s="217">
        <f>IF($A67=0,"",IF(VLOOKUP(HjArk!$D35,Tab1,61,FALSE)=0,"",VLOOKUP(HjArk!$D35,Tab1,61,FALSE)))</f>
      </c>
      <c r="BJ67" s="217"/>
      <c r="BK67" s="217"/>
      <c r="BL67" s="218"/>
    </row>
    <row r="68" spans="1:64" ht="12.75">
      <c r="A68" s="132">
        <f>HjArk!B36</f>
        <v>0</v>
      </c>
      <c r="B68" s="216">
        <f>IF($A68=0,"",IF(VLOOKUP(HjArk!$D36,Tab1,2,FALSE)=0,"",VLOOKUP(HjArk!$D36,Tab1,2,FALSE)))</f>
      </c>
      <c r="C68" s="217">
        <f>IF($A68=0,"",IF(VLOOKUP(HjArk!$D36,Tab1,3,FALSE)=0,"",VLOOKUP(HjArk!$D36,Tab1,3,FALSE)))</f>
      </c>
      <c r="D68" s="217">
        <f>IF($A68=0,"",IF(VLOOKUP(HjArk!$D36,Tab1,4,FALSE)=0,"",VLOOKUP(HjArk!$D36,Tab1,4,FALSE)))</f>
      </c>
      <c r="E68" s="217">
        <f>IF($A68=0,"",IF(VLOOKUP(HjArk!$D36,Tab1,5,FALSE)=0,"",VLOOKUP(HjArk!$D36,Tab1,5,FALSE)))</f>
      </c>
      <c r="F68" s="217">
        <f>IF($A68=0,"",IF(VLOOKUP(HjArk!$D36,Tab1,6,FALSE)=0,"",VLOOKUP(HjArk!$D36,Tab1,6,FALSE)))</f>
      </c>
      <c r="G68" s="217">
        <f>IF($A68=0,"",IF(VLOOKUP(HjArk!$D36,Tab1,7,FALSE)=0,"",VLOOKUP(HjArk!$D36,Tab1,7,FALSE)))</f>
      </c>
      <c r="H68" s="217">
        <f>IF($A68=0,"",IF(VLOOKUP(HjArk!$D36,Tab1,8,FALSE)=0,"",VLOOKUP(HjArk!$D36,Tab1,8,FALSE)))</f>
      </c>
      <c r="I68" s="217">
        <f>IF($A68=0,"",IF(VLOOKUP(HjArk!$D36,Tab1,9,FALSE)=0,"",VLOOKUP(HjArk!$D36,Tab1,9,FALSE)))</f>
      </c>
      <c r="J68" s="217">
        <f>IF($A68=0,"",IF(VLOOKUP(HjArk!$D36,Tab1,10,FALSE)=0,"",VLOOKUP(HjArk!$D36,Tab1,10,FALSE)))</f>
      </c>
      <c r="K68" s="217">
        <f>IF($A68=0,"",IF(VLOOKUP(HjArk!$D36,Tab1,11,FALSE)=0,"",VLOOKUP(HjArk!$D36,Tab1,11,FALSE)))</f>
      </c>
      <c r="L68" s="217">
        <f>IF($A68=0,"",IF(VLOOKUP(HjArk!$D36,Tab1,12,FALSE)=0,"",VLOOKUP(HjArk!$D36,Tab1,12,FALSE)))</f>
      </c>
      <c r="M68" s="217">
        <f>IF($A68=0,"",IF(VLOOKUP(HjArk!$D36,Tab1,13,FALSE)=0,"",VLOOKUP(HjArk!$D36,Tab1,13,FALSE)))</f>
      </c>
      <c r="N68" s="217">
        <f>IF($A68=0,"",IF(VLOOKUP(HjArk!$D36,Tab1,14,FALSE)=0,"",VLOOKUP(HjArk!$D36,Tab1,14,FALSE)))</f>
      </c>
      <c r="O68" s="217">
        <f>IF($A68=0,"",IF(VLOOKUP(HjArk!$D36,Tab1,15,FALSE)=0,"",VLOOKUP(HjArk!$D36,Tab1,15,FALSE)))</f>
      </c>
      <c r="P68" s="217">
        <f>IF($A68=0,"",IF(VLOOKUP(HjArk!$D36,Tab1,16,FALSE)=0,"",VLOOKUP(HjArk!$D36,Tab1,16,FALSE)))</f>
      </c>
      <c r="Q68" s="217">
        <f>IF($A68=0,"",IF(VLOOKUP(HjArk!$D36,Tab1,17,FALSE)=0,"",VLOOKUP(HjArk!$D36,Tab1,17,FALSE)))</f>
      </c>
      <c r="R68" s="217">
        <f>IF($A68=0,"",IF(VLOOKUP(HjArk!$D36,Tab1,18,FALSE)=0,"",VLOOKUP(HjArk!$D36,Tab1,18,FALSE)))</f>
      </c>
      <c r="S68" s="217">
        <f>IF($A68=0,"",IF(VLOOKUP(HjArk!$D36,Tab1,19,FALSE)=0,"",VLOOKUP(HjArk!$D36,Tab1,19,FALSE)))</f>
      </c>
      <c r="T68" s="217">
        <f>IF($A68=0,"",IF(VLOOKUP(HjArk!$D36,Tab1,20,FALSE)=0,"",VLOOKUP(HjArk!$D36,Tab1,20,FALSE)))</f>
      </c>
      <c r="U68" s="217">
        <f>IF($A68=0,"",IF(VLOOKUP(HjArk!$D36,Tab1,21,FALSE)=0,"",VLOOKUP(HjArk!$D36,Tab1,21,FALSE)))</f>
      </c>
      <c r="V68" s="217">
        <f>IF($A68=0,"",IF(VLOOKUP(HjArk!$D36,Tab1,22,FALSE)=0,"",VLOOKUP(HjArk!$D36,Tab1,22,FALSE)))</f>
      </c>
      <c r="W68" s="217">
        <f>IF($A68=0,"",IF(VLOOKUP(HjArk!$D36,Tab1,23,FALSE)=0,"",VLOOKUP(HjArk!$D36,Tab1,23,FALSE)))</f>
      </c>
      <c r="X68" s="217">
        <f>IF($A68=0,"",IF(VLOOKUP(HjArk!$D36,Tab1,24,FALSE)=0,"",VLOOKUP(HjArk!$D36,Tab1,24,FALSE)))</f>
      </c>
      <c r="Y68" s="217">
        <f>IF($A68=0,"",IF(VLOOKUP(HjArk!$D36,Tab1,25,FALSE)=0,"",VLOOKUP(HjArk!$D36,Tab1,25,FALSE)))</f>
      </c>
      <c r="Z68" s="217">
        <f>IF($A68=0,"",IF(VLOOKUP(HjArk!$D36,Tab1,26,FALSE)=0,"",VLOOKUP(HjArk!$D36,Tab1,26,FALSE)))</f>
      </c>
      <c r="AA68" s="217">
        <f>IF($A68=0,"",IF(VLOOKUP(HjArk!$D36,Tab1,27,FALSE)=0,"",VLOOKUP(HjArk!$D36,Tab1,27,FALSE)))</f>
      </c>
      <c r="AB68" s="217">
        <f>IF($A68=0,"",IF(VLOOKUP(HjArk!$D36,Tab1,28,FALSE)=0,"",VLOOKUP(HjArk!$D36,Tab1,28,FALSE)))</f>
      </c>
      <c r="AC68" s="217">
        <f>IF($A68=0,"",IF(VLOOKUP(HjArk!$D36,Tab1,29,FALSE)=0,"",VLOOKUP(HjArk!$D36,Tab1,29,FALSE)))</f>
      </c>
      <c r="AD68" s="217">
        <f>IF($A68=0,"",IF(VLOOKUP(HjArk!$D36,Tab1,30,FALSE)=0,"",VLOOKUP(HjArk!$D36,Tab1,30,FALSE)))</f>
      </c>
      <c r="AE68" s="217">
        <f>IF($A68=0,"",IF(VLOOKUP(HjArk!$D36,Tab1,31,FALSE)=0,"",VLOOKUP(HjArk!$D36,Tab1,31,FALSE)))</f>
      </c>
      <c r="AF68" s="217">
        <f>IF($A68=0,"",IF(VLOOKUP(HjArk!$D36,Tab1,32,FALSE)=0,"",VLOOKUP(HjArk!$D36,Tab1,32,FALSE)))</f>
      </c>
      <c r="AG68" s="217">
        <f>IF($A68=0,"",IF(VLOOKUP(HjArk!$D36,Tab1,33,FALSE)=0,"",VLOOKUP(HjArk!$D36,Tab1,33,FALSE)))</f>
      </c>
      <c r="AH68" s="217">
        <f>IF($A68=0,"",IF(VLOOKUP(HjArk!$D36,Tab1,34,FALSE)=0,"",VLOOKUP(HjArk!$D36,Tab1,34,FALSE)))</f>
      </c>
      <c r="AI68" s="217">
        <f>IF($A68=0,"",IF(VLOOKUP(HjArk!$D36,Tab1,35,FALSE)=0,"",VLOOKUP(HjArk!$D36,Tab1,35,FALSE)))</f>
      </c>
      <c r="AJ68" s="217">
        <f>IF($A68=0,"",IF(VLOOKUP(HjArk!$D36,Tab1,36,FALSE)=0,"",VLOOKUP(HjArk!$D36,Tab1,36,FALSE)))</f>
      </c>
      <c r="AK68" s="217">
        <f>IF($A68=0,"",IF(VLOOKUP(HjArk!$D36,Tab1,37,FALSE)=0,"",VLOOKUP(HjArk!$D36,Tab1,37,FALSE)))</f>
      </c>
      <c r="AL68" s="217">
        <f>IF($A68=0,"",IF(VLOOKUP(HjArk!$D36,Tab1,38,FALSE)=0,"",VLOOKUP(HjArk!$D36,Tab1,38,FALSE)))</f>
      </c>
      <c r="AM68" s="217">
        <f>IF($A68=0,"",IF(VLOOKUP(HjArk!$D36,Tab1,39,FALSE)=0,"",VLOOKUP(HjArk!$D36,Tab1,39,FALSE)))</f>
      </c>
      <c r="AN68" s="217">
        <f>IF($A68=0,"",IF(VLOOKUP(HjArk!$D36,Tab1,40,FALSE)=0,"",VLOOKUP(HjArk!$D36,Tab1,40,FALSE)))</f>
      </c>
      <c r="AO68" s="217">
        <f>IF($A68=0,"",IF(VLOOKUP(HjArk!$D36,Tab1,41,FALSE)=0,"",VLOOKUP(HjArk!$D36,Tab1,41,FALSE)))</f>
      </c>
      <c r="AP68" s="217">
        <f>IF($A68=0,"",IF(VLOOKUP(HjArk!$D36,Tab1,42,FALSE)=0,"",VLOOKUP(HjArk!$D36,Tab1,42,FALSE)))</f>
      </c>
      <c r="AQ68" s="217">
        <f>IF($A68=0,"",IF(VLOOKUP(HjArk!$D36,Tab1,43,FALSE)=0,"",VLOOKUP(HjArk!$D36,Tab1,43,FALSE)))</f>
      </c>
      <c r="AR68" s="217">
        <f>IF($A68=0,"",IF(VLOOKUP(HjArk!$D36,Tab1,44,FALSE)=0,"",VLOOKUP(HjArk!$D36,Tab1,44,FALSE)))</f>
      </c>
      <c r="AS68" s="217">
        <f>IF($A68=0,"",IF(VLOOKUP(HjArk!$D36,Tab1,45,FALSE)=0,"",VLOOKUP(HjArk!$D36,Tab1,45,FALSE)))</f>
      </c>
      <c r="AT68" s="217">
        <f>IF($A68=0,"",IF(VLOOKUP(HjArk!$D36,Tab1,46,FALSE)=0,"",VLOOKUP(HjArk!$D36,Tab1,46,FALSE)))</f>
      </c>
      <c r="AU68" s="217">
        <f>IF($A68=0,"",IF(VLOOKUP(HjArk!$D36,Tab1,47,FALSE)=0,"",VLOOKUP(HjArk!$D36,Tab1,47,FALSE)))</f>
      </c>
      <c r="AV68" s="217">
        <f>IF($A68=0,"",IF(VLOOKUP(HjArk!$D36,Tab1,48,FALSE)=0,"",VLOOKUP(HjArk!$D36,Tab1,48,FALSE)))</f>
      </c>
      <c r="AW68" s="217">
        <f>IF($A68=0,"",IF(VLOOKUP(HjArk!$D36,Tab1,49,FALSE)=0,"",VLOOKUP(HjArk!$D36,Tab1,49,FALSE)))</f>
      </c>
      <c r="AX68" s="217">
        <f>IF($A68=0,"",IF(VLOOKUP(HjArk!$D36,Tab1,50,FALSE)=0,"",VLOOKUP(HjArk!$D36,Tab1,50,FALSE)))</f>
      </c>
      <c r="AY68" s="217">
        <f>IF($A68=0,"",IF(VLOOKUP(HjArk!$D36,Tab1,51,FALSE)=0,"",VLOOKUP(HjArk!$D36,Tab1,51,FALSE)))</f>
      </c>
      <c r="AZ68" s="217">
        <f>IF($A68=0,"",IF(VLOOKUP(HjArk!$D36,Tab1,52,FALSE)=0,"",VLOOKUP(HjArk!$D36,Tab1,52,FALSE)))</f>
      </c>
      <c r="BA68" s="217">
        <f>IF($A68=0,"",IF(VLOOKUP(HjArk!$D36,Tab1,53,FALSE)=0,"",VLOOKUP(HjArk!$D36,Tab1,53,FALSE)))</f>
      </c>
      <c r="BB68" s="217">
        <f>IF($A68=0,"",IF(VLOOKUP(HjArk!$D36,Tab1,54,FALSE)=0,"",VLOOKUP(HjArk!$D36,Tab1,54,FALSE)))</f>
      </c>
      <c r="BC68" s="217">
        <f>IF($A68=0,"",IF(VLOOKUP(HjArk!$D36,Tab1,55,FALSE)=0,"",VLOOKUP(HjArk!$D36,Tab1,55,FALSE)))</f>
      </c>
      <c r="BD68" s="217">
        <f>IF($A68=0,"",IF(VLOOKUP(HjArk!$D36,Tab1,56,FALSE)=0,"",VLOOKUP(HjArk!$D36,Tab1,56,FALSE)))</f>
      </c>
      <c r="BE68" s="217">
        <f>IF($A68=0,"",IF(VLOOKUP(HjArk!$D36,Tab1,57,FALSE)=0,"",VLOOKUP(HjArk!$D36,Tab1,57,FALSE)))</f>
      </c>
      <c r="BF68" s="217">
        <f>IF($A68=0,"",IF(VLOOKUP(HjArk!$D36,Tab1,58,FALSE)=0,"",VLOOKUP(HjArk!$D36,Tab1,58,FALSE)))</f>
      </c>
      <c r="BG68" s="217">
        <f>IF($A68=0,"",IF(VLOOKUP(HjArk!$D36,Tab1,59,FALSE)=0,"",VLOOKUP(HjArk!$D36,Tab1,59,FALSE)))</f>
      </c>
      <c r="BH68" s="217">
        <f>IF($A68=0,"",IF(VLOOKUP(HjArk!$D36,Tab1,60,FALSE)=0,"",VLOOKUP(HjArk!$D36,Tab1,60,FALSE)))</f>
      </c>
      <c r="BI68" s="217">
        <f>IF($A68=0,"",IF(VLOOKUP(HjArk!$D36,Tab1,61,FALSE)=0,"",VLOOKUP(HjArk!$D36,Tab1,61,FALSE)))</f>
      </c>
      <c r="BJ68" s="217"/>
      <c r="BK68" s="217"/>
      <c r="BL68" s="218"/>
    </row>
    <row r="69" spans="1:64" ht="13.5" thickBot="1">
      <c r="A69" s="133">
        <f>HjArk!B37</f>
        <v>0</v>
      </c>
      <c r="B69" s="219">
        <f>IF($A69=0,"",IF(VLOOKUP(HjArk!$D37,Tab1,2,FALSE)=0,"",VLOOKUP(HjArk!$D37,Tab1,2,FALSE)))</f>
      </c>
      <c r="C69" s="220">
        <f>IF($A69=0,"",IF(VLOOKUP(HjArk!$D37,Tab1,3,FALSE)=0,"",VLOOKUP(HjArk!$D37,Tab1,3,FALSE)))</f>
      </c>
      <c r="D69" s="220">
        <f>IF($A69=0,"",IF(VLOOKUP(HjArk!$D37,Tab1,4,FALSE)=0,"",VLOOKUP(HjArk!$D37,Tab1,4,FALSE)))</f>
      </c>
      <c r="E69" s="220">
        <f>IF($A69=0,"",IF(VLOOKUP(HjArk!$D37,Tab1,5,FALSE)=0,"",VLOOKUP(HjArk!$D37,Tab1,5,FALSE)))</f>
      </c>
      <c r="F69" s="220">
        <f>IF($A69=0,"",IF(VLOOKUP(HjArk!$D37,Tab1,6,FALSE)=0,"",VLOOKUP(HjArk!$D37,Tab1,6,FALSE)))</f>
      </c>
      <c r="G69" s="220">
        <f>IF($A69=0,"",IF(VLOOKUP(HjArk!$D37,Tab1,7,FALSE)=0,"",VLOOKUP(HjArk!$D37,Tab1,7,FALSE)))</f>
      </c>
      <c r="H69" s="220">
        <f>IF($A69=0,"",IF(VLOOKUP(HjArk!$D37,Tab1,8,FALSE)=0,"",VLOOKUP(HjArk!$D37,Tab1,8,FALSE)))</f>
      </c>
      <c r="I69" s="220">
        <f>IF($A69=0,"",IF(VLOOKUP(HjArk!$D37,Tab1,9,FALSE)=0,"",VLOOKUP(HjArk!$D37,Tab1,9,FALSE)))</f>
      </c>
      <c r="J69" s="220">
        <f>IF($A69=0,"",IF(VLOOKUP(HjArk!$D37,Tab1,10,FALSE)=0,"",VLOOKUP(HjArk!$D37,Tab1,10,FALSE)))</f>
      </c>
      <c r="K69" s="220">
        <f>IF($A69=0,"",IF(VLOOKUP(HjArk!$D37,Tab1,11,FALSE)=0,"",VLOOKUP(HjArk!$D37,Tab1,11,FALSE)))</f>
      </c>
      <c r="L69" s="220">
        <f>IF($A69=0,"",IF(VLOOKUP(HjArk!$D37,Tab1,12,FALSE)=0,"",VLOOKUP(HjArk!$D37,Tab1,12,FALSE)))</f>
      </c>
      <c r="M69" s="220">
        <f>IF($A69=0,"",IF(VLOOKUP(HjArk!$D37,Tab1,13,FALSE)=0,"",VLOOKUP(HjArk!$D37,Tab1,13,FALSE)))</f>
      </c>
      <c r="N69" s="220">
        <f>IF($A69=0,"",IF(VLOOKUP(HjArk!$D37,Tab1,14,FALSE)=0,"",VLOOKUP(HjArk!$D37,Tab1,14,FALSE)))</f>
      </c>
      <c r="O69" s="220">
        <f>IF($A69=0,"",IF(VLOOKUP(HjArk!$D37,Tab1,15,FALSE)=0,"",VLOOKUP(HjArk!$D37,Tab1,15,FALSE)))</f>
      </c>
      <c r="P69" s="220">
        <f>IF($A69=0,"",IF(VLOOKUP(HjArk!$D37,Tab1,16,FALSE)=0,"",VLOOKUP(HjArk!$D37,Tab1,16,FALSE)))</f>
      </c>
      <c r="Q69" s="220">
        <f>IF($A69=0,"",IF(VLOOKUP(HjArk!$D37,Tab1,17,FALSE)=0,"",VLOOKUP(HjArk!$D37,Tab1,17,FALSE)))</f>
      </c>
      <c r="R69" s="220">
        <f>IF($A69=0,"",IF(VLOOKUP(HjArk!$D37,Tab1,18,FALSE)=0,"",VLOOKUP(HjArk!$D37,Tab1,18,FALSE)))</f>
      </c>
      <c r="S69" s="220">
        <f>IF($A69=0,"",IF(VLOOKUP(HjArk!$D37,Tab1,19,FALSE)=0,"",VLOOKUP(HjArk!$D37,Tab1,19,FALSE)))</f>
      </c>
      <c r="T69" s="220">
        <f>IF($A69=0,"",IF(VLOOKUP(HjArk!$D37,Tab1,20,FALSE)=0,"",VLOOKUP(HjArk!$D37,Tab1,20,FALSE)))</f>
      </c>
      <c r="U69" s="220">
        <f>IF($A69=0,"",IF(VLOOKUP(HjArk!$D37,Tab1,21,FALSE)=0,"",VLOOKUP(HjArk!$D37,Tab1,21,FALSE)))</f>
      </c>
      <c r="V69" s="220">
        <f>IF($A69=0,"",IF(VLOOKUP(HjArk!$D37,Tab1,22,FALSE)=0,"",VLOOKUP(HjArk!$D37,Tab1,22,FALSE)))</f>
      </c>
      <c r="W69" s="220">
        <f>IF($A69=0,"",IF(VLOOKUP(HjArk!$D37,Tab1,23,FALSE)=0,"",VLOOKUP(HjArk!$D37,Tab1,23,FALSE)))</f>
      </c>
      <c r="X69" s="220">
        <f>IF($A69=0,"",IF(VLOOKUP(HjArk!$D37,Tab1,24,FALSE)=0,"",VLOOKUP(HjArk!$D37,Tab1,24,FALSE)))</f>
      </c>
      <c r="Y69" s="220">
        <f>IF($A69=0,"",IF(VLOOKUP(HjArk!$D37,Tab1,25,FALSE)=0,"",VLOOKUP(HjArk!$D37,Tab1,25,FALSE)))</f>
      </c>
      <c r="Z69" s="220">
        <f>IF($A69=0,"",IF(VLOOKUP(HjArk!$D37,Tab1,26,FALSE)=0,"",VLOOKUP(HjArk!$D37,Tab1,26,FALSE)))</f>
      </c>
      <c r="AA69" s="220">
        <f>IF($A69=0,"",IF(VLOOKUP(HjArk!$D37,Tab1,27,FALSE)=0,"",VLOOKUP(HjArk!$D37,Tab1,27,FALSE)))</f>
      </c>
      <c r="AB69" s="220">
        <f>IF($A69=0,"",IF(VLOOKUP(HjArk!$D37,Tab1,28,FALSE)=0,"",VLOOKUP(HjArk!$D37,Tab1,28,FALSE)))</f>
      </c>
      <c r="AC69" s="220">
        <f>IF($A69=0,"",IF(VLOOKUP(HjArk!$D37,Tab1,29,FALSE)=0,"",VLOOKUP(HjArk!$D37,Tab1,29,FALSE)))</f>
      </c>
      <c r="AD69" s="220">
        <f>IF($A69=0,"",IF(VLOOKUP(HjArk!$D37,Tab1,30,FALSE)=0,"",VLOOKUP(HjArk!$D37,Tab1,30,FALSE)))</f>
      </c>
      <c r="AE69" s="220">
        <f>IF($A69=0,"",IF(VLOOKUP(HjArk!$D37,Tab1,31,FALSE)=0,"",VLOOKUP(HjArk!$D37,Tab1,31,FALSE)))</f>
      </c>
      <c r="AF69" s="220">
        <f>IF($A69=0,"",IF(VLOOKUP(HjArk!$D37,Tab1,32,FALSE)=0,"",VLOOKUP(HjArk!$D37,Tab1,32,FALSE)))</f>
      </c>
      <c r="AG69" s="220">
        <f>IF($A69=0,"",IF(VLOOKUP(HjArk!$D37,Tab1,33,FALSE)=0,"",VLOOKUP(HjArk!$D37,Tab1,33,FALSE)))</f>
      </c>
      <c r="AH69" s="220">
        <f>IF($A69=0,"",IF(VLOOKUP(HjArk!$D37,Tab1,34,FALSE)=0,"",VLOOKUP(HjArk!$D37,Tab1,34,FALSE)))</f>
      </c>
      <c r="AI69" s="220">
        <f>IF($A69=0,"",IF(VLOOKUP(HjArk!$D37,Tab1,35,FALSE)=0,"",VLOOKUP(HjArk!$D37,Tab1,35,FALSE)))</f>
      </c>
      <c r="AJ69" s="220">
        <f>IF($A69=0,"",IF(VLOOKUP(HjArk!$D37,Tab1,36,FALSE)=0,"",VLOOKUP(HjArk!$D37,Tab1,36,FALSE)))</f>
      </c>
      <c r="AK69" s="220">
        <f>IF($A69=0,"",IF(VLOOKUP(HjArk!$D37,Tab1,37,FALSE)=0,"",VLOOKUP(HjArk!$D37,Tab1,37,FALSE)))</f>
      </c>
      <c r="AL69" s="220">
        <f>IF($A69=0,"",IF(VLOOKUP(HjArk!$D37,Tab1,38,FALSE)=0,"",VLOOKUP(HjArk!$D37,Tab1,38,FALSE)))</f>
      </c>
      <c r="AM69" s="220">
        <f>IF($A69=0,"",IF(VLOOKUP(HjArk!$D37,Tab1,39,FALSE)=0,"",VLOOKUP(HjArk!$D37,Tab1,39,FALSE)))</f>
      </c>
      <c r="AN69" s="220">
        <f>IF($A69=0,"",IF(VLOOKUP(HjArk!$D37,Tab1,40,FALSE)=0,"",VLOOKUP(HjArk!$D37,Tab1,40,FALSE)))</f>
      </c>
      <c r="AO69" s="220">
        <f>IF($A69=0,"",IF(VLOOKUP(HjArk!$D37,Tab1,41,FALSE)=0,"",VLOOKUP(HjArk!$D37,Tab1,41,FALSE)))</f>
      </c>
      <c r="AP69" s="220">
        <f>IF($A69=0,"",IF(VLOOKUP(HjArk!$D37,Tab1,42,FALSE)=0,"",VLOOKUP(HjArk!$D37,Tab1,42,FALSE)))</f>
      </c>
      <c r="AQ69" s="220">
        <f>IF($A69=0,"",IF(VLOOKUP(HjArk!$D37,Tab1,43,FALSE)=0,"",VLOOKUP(HjArk!$D37,Tab1,43,FALSE)))</f>
      </c>
      <c r="AR69" s="220">
        <f>IF($A69=0,"",IF(VLOOKUP(HjArk!$D37,Tab1,44,FALSE)=0,"",VLOOKUP(HjArk!$D37,Tab1,44,FALSE)))</f>
      </c>
      <c r="AS69" s="220">
        <f>IF($A69=0,"",IF(VLOOKUP(HjArk!$D37,Tab1,45,FALSE)=0,"",VLOOKUP(HjArk!$D37,Tab1,45,FALSE)))</f>
      </c>
      <c r="AT69" s="220">
        <f>IF($A69=0,"",IF(VLOOKUP(HjArk!$D37,Tab1,46,FALSE)=0,"",VLOOKUP(HjArk!$D37,Tab1,46,FALSE)))</f>
      </c>
      <c r="AU69" s="220">
        <f>IF($A69=0,"",IF(VLOOKUP(HjArk!$D37,Tab1,47,FALSE)=0,"",VLOOKUP(HjArk!$D37,Tab1,47,FALSE)))</f>
      </c>
      <c r="AV69" s="220">
        <f>IF($A69=0,"",IF(VLOOKUP(HjArk!$D37,Tab1,48,FALSE)=0,"",VLOOKUP(HjArk!$D37,Tab1,48,FALSE)))</f>
      </c>
      <c r="AW69" s="220">
        <f>IF($A69=0,"",IF(VLOOKUP(HjArk!$D37,Tab1,49,FALSE)=0,"",VLOOKUP(HjArk!$D37,Tab1,49,FALSE)))</f>
      </c>
      <c r="AX69" s="220">
        <f>IF($A69=0,"",IF(VLOOKUP(HjArk!$D37,Tab1,50,FALSE)=0,"",VLOOKUP(HjArk!$D37,Tab1,50,FALSE)))</f>
      </c>
      <c r="AY69" s="220">
        <f>IF($A69=0,"",IF(VLOOKUP(HjArk!$D37,Tab1,51,FALSE)=0,"",VLOOKUP(HjArk!$D37,Tab1,51,FALSE)))</f>
      </c>
      <c r="AZ69" s="220">
        <f>IF($A69=0,"",IF(VLOOKUP(HjArk!$D37,Tab1,52,FALSE)=0,"",VLOOKUP(HjArk!$D37,Tab1,52,FALSE)))</f>
      </c>
      <c r="BA69" s="220">
        <f>IF($A69=0,"",IF(VLOOKUP(HjArk!$D37,Tab1,53,FALSE)=0,"",VLOOKUP(HjArk!$D37,Tab1,53,FALSE)))</f>
      </c>
      <c r="BB69" s="220">
        <f>IF($A69=0,"",IF(VLOOKUP(HjArk!$D37,Tab1,54,FALSE)=0,"",VLOOKUP(HjArk!$D37,Tab1,54,FALSE)))</f>
      </c>
      <c r="BC69" s="220">
        <f>IF($A69=0,"",IF(VLOOKUP(HjArk!$D37,Tab1,55,FALSE)=0,"",VLOOKUP(HjArk!$D37,Tab1,55,FALSE)))</f>
      </c>
      <c r="BD69" s="220">
        <f>IF($A69=0,"",IF(VLOOKUP(HjArk!$D37,Tab1,56,FALSE)=0,"",VLOOKUP(HjArk!$D37,Tab1,56,FALSE)))</f>
      </c>
      <c r="BE69" s="220">
        <f>IF($A69=0,"",IF(VLOOKUP(HjArk!$D37,Tab1,57,FALSE)=0,"",VLOOKUP(HjArk!$D37,Tab1,57,FALSE)))</f>
      </c>
      <c r="BF69" s="220">
        <f>IF($A69=0,"",IF(VLOOKUP(HjArk!$D37,Tab1,58,FALSE)=0,"",VLOOKUP(HjArk!$D37,Tab1,58,FALSE)))</f>
      </c>
      <c r="BG69" s="220">
        <f>IF($A69=0,"",IF(VLOOKUP(HjArk!$D37,Tab1,59,FALSE)=0,"",VLOOKUP(HjArk!$D37,Tab1,59,FALSE)))</f>
      </c>
      <c r="BH69" s="220">
        <f>IF($A69=0,"",IF(VLOOKUP(HjArk!$D37,Tab1,60,FALSE)=0,"",VLOOKUP(HjArk!$D37,Tab1,60,FALSE)))</f>
      </c>
      <c r="BI69" s="220">
        <f>IF($A69=0,"",IF(VLOOKUP(HjArk!$D37,Tab1,61,FALSE)=0,"",VLOOKUP(HjArk!$D37,Tab1,61,FALSE)))</f>
      </c>
      <c r="BJ69" s="220"/>
      <c r="BK69" s="220"/>
      <c r="BL69" s="221"/>
    </row>
    <row r="70" ht="13.5" thickBot="1"/>
    <row r="71" spans="1:64" ht="12.75">
      <c r="A71" s="104">
        <v>1</v>
      </c>
      <c r="B71" s="105"/>
      <c r="C71" s="106"/>
      <c r="D71" s="107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9"/>
    </row>
    <row r="72" spans="1:64" ht="12.75">
      <c r="A72" s="110">
        <v>2</v>
      </c>
      <c r="B72" s="134" t="s">
        <v>57</v>
      </c>
      <c r="C72" s="135" t="s">
        <v>57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7"/>
    </row>
    <row r="73" spans="1:64" ht="12.75">
      <c r="A73" s="110">
        <v>3</v>
      </c>
      <c r="B73" s="134">
        <v>1</v>
      </c>
      <c r="C73" s="135">
        <v>1</v>
      </c>
      <c r="D73" s="135" t="s">
        <v>57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7"/>
    </row>
    <row r="74" spans="1:64" ht="12.75">
      <c r="A74" s="110">
        <v>4</v>
      </c>
      <c r="B74" s="134">
        <v>1</v>
      </c>
      <c r="C74" s="135">
        <v>1</v>
      </c>
      <c r="D74" s="135">
        <v>2</v>
      </c>
      <c r="E74" s="135">
        <v>2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7"/>
    </row>
    <row r="75" spans="1:64" ht="12.75">
      <c r="A75" s="110">
        <v>5</v>
      </c>
      <c r="B75" s="134">
        <v>1</v>
      </c>
      <c r="C75" s="135">
        <v>1</v>
      </c>
      <c r="D75" s="135">
        <v>2</v>
      </c>
      <c r="E75" s="135">
        <v>2</v>
      </c>
      <c r="F75" s="135">
        <v>3</v>
      </c>
      <c r="G75" s="138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7"/>
    </row>
    <row r="76" spans="1:64" ht="12.75">
      <c r="A76" s="110">
        <v>6</v>
      </c>
      <c r="B76" s="134">
        <v>1</v>
      </c>
      <c r="C76" s="135">
        <v>1</v>
      </c>
      <c r="D76" s="135">
        <v>2</v>
      </c>
      <c r="E76" s="135">
        <v>2</v>
      </c>
      <c r="F76" s="135">
        <v>3</v>
      </c>
      <c r="G76" s="135">
        <v>4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9"/>
      <c r="T76" s="139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7"/>
    </row>
    <row r="77" spans="1:64" ht="12.75">
      <c r="A77" s="110">
        <v>7</v>
      </c>
      <c r="B77" s="134">
        <v>1</v>
      </c>
      <c r="C77" s="135">
        <v>1</v>
      </c>
      <c r="D77" s="135">
        <v>2</v>
      </c>
      <c r="E77" s="135">
        <v>2</v>
      </c>
      <c r="F77" s="135">
        <v>3</v>
      </c>
      <c r="G77" s="135">
        <v>3</v>
      </c>
      <c r="H77" s="135">
        <v>5</v>
      </c>
      <c r="I77" s="138">
        <v>4</v>
      </c>
      <c r="J77" s="135">
        <v>4</v>
      </c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7"/>
    </row>
    <row r="78" spans="1:64" ht="12.75">
      <c r="A78" s="110">
        <v>8</v>
      </c>
      <c r="B78" s="134">
        <v>1</v>
      </c>
      <c r="C78" s="135">
        <v>1</v>
      </c>
      <c r="D78" s="135">
        <v>2</v>
      </c>
      <c r="E78" s="135">
        <v>2</v>
      </c>
      <c r="F78" s="135">
        <v>3</v>
      </c>
      <c r="G78" s="135">
        <v>3</v>
      </c>
      <c r="H78" s="135">
        <v>4</v>
      </c>
      <c r="I78" s="135">
        <v>4</v>
      </c>
      <c r="J78" s="135">
        <v>5</v>
      </c>
      <c r="K78" s="135">
        <v>5</v>
      </c>
      <c r="L78" s="135">
        <v>6</v>
      </c>
      <c r="M78" s="135">
        <v>6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7"/>
    </row>
    <row r="79" spans="1:64" ht="12.75">
      <c r="A79" s="110">
        <v>9</v>
      </c>
      <c r="B79" s="134">
        <v>1</v>
      </c>
      <c r="C79" s="135">
        <v>1</v>
      </c>
      <c r="D79" s="135">
        <v>2</v>
      </c>
      <c r="E79" s="135">
        <v>2</v>
      </c>
      <c r="F79" s="135">
        <v>3</v>
      </c>
      <c r="G79" s="135">
        <v>3</v>
      </c>
      <c r="H79" s="135">
        <v>4</v>
      </c>
      <c r="I79" s="135">
        <v>5</v>
      </c>
      <c r="J79" s="135">
        <v>5</v>
      </c>
      <c r="K79" s="135">
        <v>6</v>
      </c>
      <c r="L79" s="135">
        <v>6</v>
      </c>
      <c r="M79" s="135">
        <v>7</v>
      </c>
      <c r="N79" s="135">
        <v>7</v>
      </c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7"/>
    </row>
    <row r="80" spans="1:64" ht="12.75">
      <c r="A80" s="110">
        <v>10</v>
      </c>
      <c r="B80" s="134">
        <v>1</v>
      </c>
      <c r="C80" s="135">
        <v>1</v>
      </c>
      <c r="D80" s="135">
        <v>2</v>
      </c>
      <c r="E80" s="135">
        <v>2</v>
      </c>
      <c r="F80" s="135">
        <v>3</v>
      </c>
      <c r="G80" s="135">
        <v>4</v>
      </c>
      <c r="H80" s="135">
        <v>4</v>
      </c>
      <c r="I80" s="135">
        <v>5</v>
      </c>
      <c r="J80" s="135">
        <v>6</v>
      </c>
      <c r="K80" s="135">
        <v>6</v>
      </c>
      <c r="L80" s="135">
        <v>7</v>
      </c>
      <c r="M80" s="135">
        <v>7</v>
      </c>
      <c r="N80" s="135">
        <v>8</v>
      </c>
      <c r="O80" s="135">
        <v>8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7"/>
    </row>
    <row r="81" spans="1:64" ht="12.75">
      <c r="A81" s="110">
        <v>11</v>
      </c>
      <c r="B81" s="134">
        <v>1</v>
      </c>
      <c r="C81" s="135">
        <v>1</v>
      </c>
      <c r="D81" s="135">
        <v>2</v>
      </c>
      <c r="E81" s="135">
        <v>2</v>
      </c>
      <c r="F81" s="135">
        <v>3</v>
      </c>
      <c r="G81" s="135">
        <v>3</v>
      </c>
      <c r="H81" s="135">
        <v>4</v>
      </c>
      <c r="I81" s="135">
        <v>5</v>
      </c>
      <c r="J81" s="135">
        <v>6</v>
      </c>
      <c r="K81" s="135">
        <v>7</v>
      </c>
      <c r="L81" s="135">
        <v>7</v>
      </c>
      <c r="M81" s="135">
        <v>8</v>
      </c>
      <c r="N81" s="135">
        <v>8</v>
      </c>
      <c r="O81" s="135">
        <v>9</v>
      </c>
      <c r="P81" s="135">
        <v>9</v>
      </c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7"/>
    </row>
    <row r="82" spans="1:64" ht="12.75">
      <c r="A82" s="110">
        <v>12</v>
      </c>
      <c r="B82" s="134">
        <v>1</v>
      </c>
      <c r="C82" s="135">
        <v>1</v>
      </c>
      <c r="D82" s="135">
        <v>2</v>
      </c>
      <c r="E82" s="135">
        <v>2</v>
      </c>
      <c r="F82" s="139">
        <v>3</v>
      </c>
      <c r="G82" s="139">
        <v>3</v>
      </c>
      <c r="H82" s="135">
        <v>4</v>
      </c>
      <c r="I82" s="135">
        <v>4</v>
      </c>
      <c r="J82" s="135">
        <v>5</v>
      </c>
      <c r="K82" s="135">
        <v>6</v>
      </c>
      <c r="L82" s="135">
        <v>7</v>
      </c>
      <c r="M82" s="135">
        <v>8</v>
      </c>
      <c r="N82" s="135">
        <v>9</v>
      </c>
      <c r="O82" s="135">
        <v>9</v>
      </c>
      <c r="P82" s="135">
        <v>10</v>
      </c>
      <c r="Q82" s="135">
        <v>10</v>
      </c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7"/>
    </row>
    <row r="83" spans="1:64" ht="12.75">
      <c r="A83" s="110">
        <v>13</v>
      </c>
      <c r="B83" s="134">
        <v>1</v>
      </c>
      <c r="C83" s="135">
        <v>1</v>
      </c>
      <c r="D83" s="135">
        <v>2</v>
      </c>
      <c r="E83" s="135">
        <v>2</v>
      </c>
      <c r="F83" s="135">
        <v>3</v>
      </c>
      <c r="G83" s="135">
        <v>3</v>
      </c>
      <c r="H83" s="135">
        <v>4</v>
      </c>
      <c r="I83" s="135">
        <v>4</v>
      </c>
      <c r="J83" s="135">
        <v>5</v>
      </c>
      <c r="K83" s="135">
        <v>5</v>
      </c>
      <c r="L83" s="135">
        <v>6</v>
      </c>
      <c r="M83" s="135">
        <v>7</v>
      </c>
      <c r="N83" s="135">
        <v>8</v>
      </c>
      <c r="O83" s="135">
        <v>9</v>
      </c>
      <c r="P83" s="135">
        <v>9</v>
      </c>
      <c r="Q83" s="135">
        <v>10</v>
      </c>
      <c r="R83" s="135">
        <v>10</v>
      </c>
      <c r="S83" s="135">
        <v>11</v>
      </c>
      <c r="T83" s="135">
        <v>11</v>
      </c>
      <c r="U83" s="135">
        <v>12</v>
      </c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7"/>
    </row>
    <row r="84" spans="1:64" ht="12.75">
      <c r="A84" s="110">
        <v>14</v>
      </c>
      <c r="B84" s="134">
        <v>1</v>
      </c>
      <c r="C84" s="135">
        <v>1</v>
      </c>
      <c r="D84" s="135">
        <v>2</v>
      </c>
      <c r="E84" s="135">
        <v>2</v>
      </c>
      <c r="F84" s="135">
        <v>3</v>
      </c>
      <c r="G84" s="135">
        <v>3</v>
      </c>
      <c r="H84" s="135">
        <v>4</v>
      </c>
      <c r="I84" s="135">
        <v>4</v>
      </c>
      <c r="J84" s="135">
        <v>5</v>
      </c>
      <c r="K84" s="135">
        <v>5</v>
      </c>
      <c r="L84" s="135">
        <v>6</v>
      </c>
      <c r="M84" s="135">
        <v>6</v>
      </c>
      <c r="N84" s="135">
        <v>7</v>
      </c>
      <c r="O84" s="135">
        <v>9</v>
      </c>
      <c r="P84" s="135">
        <v>9</v>
      </c>
      <c r="Q84" s="135">
        <v>8</v>
      </c>
      <c r="R84" s="135">
        <v>10</v>
      </c>
      <c r="S84" s="135">
        <v>10</v>
      </c>
      <c r="T84" s="135">
        <v>11</v>
      </c>
      <c r="U84" s="135">
        <v>11</v>
      </c>
      <c r="V84" s="135">
        <v>12</v>
      </c>
      <c r="W84" s="135">
        <v>12</v>
      </c>
      <c r="X84" s="135"/>
      <c r="Y84" s="135"/>
      <c r="Z84" s="135"/>
      <c r="AA84" s="135"/>
      <c r="AB84" s="135"/>
      <c r="AC84" s="135"/>
      <c r="AD84" s="135"/>
      <c r="AE84" s="135"/>
      <c r="AF84" s="135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7"/>
    </row>
    <row r="85" spans="1:64" ht="12.75">
      <c r="A85" s="110">
        <v>15</v>
      </c>
      <c r="B85" s="134">
        <v>1</v>
      </c>
      <c r="C85" s="135">
        <v>1</v>
      </c>
      <c r="D85" s="135">
        <v>2</v>
      </c>
      <c r="E85" s="135">
        <v>2</v>
      </c>
      <c r="F85" s="135">
        <v>3</v>
      </c>
      <c r="G85" s="135">
        <v>3</v>
      </c>
      <c r="H85" s="135">
        <v>4</v>
      </c>
      <c r="I85" s="135">
        <v>4</v>
      </c>
      <c r="J85" s="135">
        <v>5</v>
      </c>
      <c r="K85" s="135">
        <v>5</v>
      </c>
      <c r="L85" s="135">
        <v>6</v>
      </c>
      <c r="M85" s="135">
        <v>6</v>
      </c>
      <c r="N85" s="135">
        <v>7</v>
      </c>
      <c r="O85" s="135">
        <v>7</v>
      </c>
      <c r="P85" s="139">
        <v>9</v>
      </c>
      <c r="Q85" s="139">
        <v>9</v>
      </c>
      <c r="R85" s="139">
        <v>8</v>
      </c>
      <c r="S85" s="139">
        <v>8</v>
      </c>
      <c r="T85" s="135">
        <v>10</v>
      </c>
      <c r="U85" s="135">
        <v>10</v>
      </c>
      <c r="V85" s="139">
        <v>11</v>
      </c>
      <c r="W85" s="139">
        <v>11</v>
      </c>
      <c r="X85" s="139">
        <v>12</v>
      </c>
      <c r="Y85" s="139">
        <v>12</v>
      </c>
      <c r="Z85" s="139">
        <v>13</v>
      </c>
      <c r="AA85" s="135">
        <v>13</v>
      </c>
      <c r="AB85" s="135"/>
      <c r="AC85" s="135"/>
      <c r="AD85" s="135"/>
      <c r="AE85" s="135"/>
      <c r="AF85" s="135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7"/>
    </row>
    <row r="86" spans="1:64" ht="12.75">
      <c r="A86" s="110">
        <v>16</v>
      </c>
      <c r="B86" s="134">
        <v>1</v>
      </c>
      <c r="C86" s="135">
        <v>1</v>
      </c>
      <c r="D86" s="135">
        <v>2</v>
      </c>
      <c r="E86" s="135">
        <v>2</v>
      </c>
      <c r="F86" s="135">
        <v>3</v>
      </c>
      <c r="G86" s="135">
        <v>3</v>
      </c>
      <c r="H86" s="135">
        <v>4</v>
      </c>
      <c r="I86" s="135">
        <v>4</v>
      </c>
      <c r="J86" s="135">
        <v>5</v>
      </c>
      <c r="K86" s="135">
        <v>5</v>
      </c>
      <c r="L86" s="135">
        <v>6</v>
      </c>
      <c r="M86" s="135">
        <v>6</v>
      </c>
      <c r="N86" s="135">
        <v>7</v>
      </c>
      <c r="O86" s="135">
        <v>7</v>
      </c>
      <c r="P86" s="135">
        <v>8</v>
      </c>
      <c r="Q86" s="135">
        <v>8</v>
      </c>
      <c r="R86" s="135">
        <v>9</v>
      </c>
      <c r="S86" s="135">
        <v>9</v>
      </c>
      <c r="T86" s="135">
        <v>10</v>
      </c>
      <c r="U86" s="135">
        <v>10</v>
      </c>
      <c r="V86" s="135">
        <v>11</v>
      </c>
      <c r="W86" s="135">
        <v>11</v>
      </c>
      <c r="X86" s="135">
        <v>12</v>
      </c>
      <c r="Y86" s="135">
        <v>12</v>
      </c>
      <c r="Z86" s="135">
        <v>13</v>
      </c>
      <c r="AA86" s="135">
        <v>13</v>
      </c>
      <c r="AB86" s="135">
        <v>14</v>
      </c>
      <c r="AC86" s="135">
        <v>14</v>
      </c>
      <c r="AD86" s="135"/>
      <c r="AE86" s="135"/>
      <c r="AF86" s="135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7"/>
    </row>
    <row r="87" spans="1:64" ht="12.75">
      <c r="A87" s="110">
        <v>17</v>
      </c>
      <c r="B87" s="134">
        <v>1</v>
      </c>
      <c r="C87" s="135">
        <v>1</v>
      </c>
      <c r="D87" s="135">
        <v>2</v>
      </c>
      <c r="E87" s="135">
        <v>2</v>
      </c>
      <c r="F87" s="135">
        <v>3</v>
      </c>
      <c r="G87" s="135">
        <v>3</v>
      </c>
      <c r="H87" s="135">
        <v>4</v>
      </c>
      <c r="I87" s="135">
        <v>4</v>
      </c>
      <c r="J87" s="135">
        <v>5</v>
      </c>
      <c r="K87" s="135">
        <v>5</v>
      </c>
      <c r="L87" s="135">
        <v>6</v>
      </c>
      <c r="M87" s="135">
        <v>7</v>
      </c>
      <c r="N87" s="135">
        <v>7</v>
      </c>
      <c r="O87" s="135">
        <v>8</v>
      </c>
      <c r="P87" s="135">
        <v>8</v>
      </c>
      <c r="Q87" s="135">
        <v>9</v>
      </c>
      <c r="R87" s="135">
        <v>9</v>
      </c>
      <c r="S87" s="135">
        <v>10</v>
      </c>
      <c r="T87" s="135">
        <v>10</v>
      </c>
      <c r="U87" s="135">
        <v>11</v>
      </c>
      <c r="V87" s="135">
        <v>11</v>
      </c>
      <c r="W87" s="135">
        <v>12</v>
      </c>
      <c r="X87" s="135">
        <v>12</v>
      </c>
      <c r="Y87" s="135">
        <v>13</v>
      </c>
      <c r="Z87" s="135">
        <v>13</v>
      </c>
      <c r="AA87" s="135">
        <v>14</v>
      </c>
      <c r="AB87" s="135">
        <v>14</v>
      </c>
      <c r="AC87" s="135">
        <v>15</v>
      </c>
      <c r="AD87" s="135">
        <v>15</v>
      </c>
      <c r="AE87" s="135"/>
      <c r="AF87" s="135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7"/>
    </row>
    <row r="88" spans="1:64" ht="12.75">
      <c r="A88" s="110">
        <v>18</v>
      </c>
      <c r="B88" s="134">
        <v>1</v>
      </c>
      <c r="C88" s="135">
        <v>1</v>
      </c>
      <c r="D88" s="135">
        <v>2</v>
      </c>
      <c r="E88" s="135">
        <v>2</v>
      </c>
      <c r="F88" s="135">
        <v>3</v>
      </c>
      <c r="G88" s="135">
        <v>4</v>
      </c>
      <c r="H88" s="135">
        <v>4</v>
      </c>
      <c r="I88" s="135">
        <v>5</v>
      </c>
      <c r="J88" s="135">
        <v>5</v>
      </c>
      <c r="K88" s="135">
        <v>6</v>
      </c>
      <c r="L88" s="1">
        <v>6</v>
      </c>
      <c r="M88" s="135">
        <v>7</v>
      </c>
      <c r="N88" s="135">
        <v>8</v>
      </c>
      <c r="O88" s="135">
        <v>8</v>
      </c>
      <c r="P88" s="135">
        <v>9</v>
      </c>
      <c r="Q88" s="135">
        <v>9</v>
      </c>
      <c r="R88" s="135">
        <v>10</v>
      </c>
      <c r="S88" s="135">
        <v>10</v>
      </c>
      <c r="T88" s="135">
        <v>11</v>
      </c>
      <c r="U88" s="135">
        <v>11</v>
      </c>
      <c r="V88" s="135">
        <v>12</v>
      </c>
      <c r="W88" s="135">
        <v>12</v>
      </c>
      <c r="X88" s="135">
        <v>13</v>
      </c>
      <c r="Y88" s="135">
        <v>13</v>
      </c>
      <c r="Z88" s="135">
        <v>14</v>
      </c>
      <c r="AA88" s="135">
        <v>14</v>
      </c>
      <c r="AB88" s="135">
        <v>15</v>
      </c>
      <c r="AC88" s="135">
        <v>15</v>
      </c>
      <c r="AD88" s="135">
        <v>16</v>
      </c>
      <c r="AE88" s="135">
        <v>16</v>
      </c>
      <c r="AF88" s="135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7"/>
    </row>
    <row r="89" spans="1:64" ht="12.75">
      <c r="A89" s="110">
        <v>19</v>
      </c>
      <c r="B89" s="134">
        <v>1</v>
      </c>
      <c r="C89" s="135">
        <v>1</v>
      </c>
      <c r="D89" s="135">
        <v>2</v>
      </c>
      <c r="E89" s="135">
        <v>2</v>
      </c>
      <c r="F89" s="135">
        <v>3</v>
      </c>
      <c r="G89" s="135">
        <v>3</v>
      </c>
      <c r="H89" s="135">
        <v>4</v>
      </c>
      <c r="I89" s="135">
        <v>5</v>
      </c>
      <c r="J89" s="135">
        <v>5</v>
      </c>
      <c r="K89" s="135">
        <v>6</v>
      </c>
      <c r="L89" s="135">
        <v>7</v>
      </c>
      <c r="M89" s="135">
        <v>7</v>
      </c>
      <c r="N89" s="135">
        <v>8</v>
      </c>
      <c r="O89" s="135">
        <v>9</v>
      </c>
      <c r="P89" s="135">
        <v>9</v>
      </c>
      <c r="Q89" s="135">
        <v>10</v>
      </c>
      <c r="R89" s="135">
        <v>10</v>
      </c>
      <c r="S89" s="135">
        <v>11</v>
      </c>
      <c r="T89" s="135">
        <v>11</v>
      </c>
      <c r="U89" s="135">
        <v>12</v>
      </c>
      <c r="V89" s="135">
        <v>12</v>
      </c>
      <c r="W89" s="135">
        <v>13</v>
      </c>
      <c r="X89" s="135">
        <v>13</v>
      </c>
      <c r="Y89" s="135">
        <v>14</v>
      </c>
      <c r="Z89" s="135">
        <v>14</v>
      </c>
      <c r="AA89" s="135">
        <v>15</v>
      </c>
      <c r="AB89" s="135">
        <v>15</v>
      </c>
      <c r="AC89" s="135">
        <v>16</v>
      </c>
      <c r="AD89" s="135">
        <v>16</v>
      </c>
      <c r="AE89" s="135">
        <v>17</v>
      </c>
      <c r="AF89" s="135">
        <v>17</v>
      </c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7"/>
    </row>
    <row r="90" spans="1:64" ht="12.75">
      <c r="A90" s="110">
        <v>20</v>
      </c>
      <c r="B90" s="134">
        <v>1</v>
      </c>
      <c r="C90" s="135">
        <v>1</v>
      </c>
      <c r="D90" s="135">
        <v>2</v>
      </c>
      <c r="E90" s="135">
        <v>2</v>
      </c>
      <c r="F90" s="135">
        <v>3</v>
      </c>
      <c r="G90" s="135">
        <v>3</v>
      </c>
      <c r="H90" s="135">
        <v>4</v>
      </c>
      <c r="I90" s="135">
        <v>4</v>
      </c>
      <c r="J90" s="135">
        <v>5</v>
      </c>
      <c r="K90" s="135">
        <v>6</v>
      </c>
      <c r="L90" s="135">
        <v>6</v>
      </c>
      <c r="M90" s="135">
        <v>7</v>
      </c>
      <c r="N90" s="135">
        <v>8</v>
      </c>
      <c r="O90" s="135">
        <v>8</v>
      </c>
      <c r="P90" s="135">
        <v>9</v>
      </c>
      <c r="Q90" s="135">
        <v>10</v>
      </c>
      <c r="R90" s="135">
        <v>10</v>
      </c>
      <c r="S90" s="135">
        <v>11</v>
      </c>
      <c r="T90" s="135">
        <v>12</v>
      </c>
      <c r="U90" s="135">
        <v>12</v>
      </c>
      <c r="V90" s="135">
        <v>13</v>
      </c>
      <c r="W90" s="135">
        <v>13</v>
      </c>
      <c r="X90" s="135">
        <v>14</v>
      </c>
      <c r="Y90" s="135">
        <v>14</v>
      </c>
      <c r="Z90" s="135">
        <v>15</v>
      </c>
      <c r="AA90" s="135">
        <v>15</v>
      </c>
      <c r="AB90" s="135">
        <v>16</v>
      </c>
      <c r="AC90" s="135">
        <v>16</v>
      </c>
      <c r="AD90" s="135">
        <v>17</v>
      </c>
      <c r="AE90" s="135">
        <v>17</v>
      </c>
      <c r="AF90" s="135">
        <v>18</v>
      </c>
      <c r="AG90" s="136">
        <v>18</v>
      </c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7"/>
    </row>
    <row r="91" spans="1:64" ht="12.75">
      <c r="A91" s="110">
        <v>21</v>
      </c>
      <c r="B91" s="134">
        <v>1</v>
      </c>
      <c r="C91" s="135">
        <v>1</v>
      </c>
      <c r="D91" s="135">
        <v>2</v>
      </c>
      <c r="E91" s="135">
        <v>2</v>
      </c>
      <c r="F91" s="135">
        <v>3</v>
      </c>
      <c r="G91" s="135">
        <v>3</v>
      </c>
      <c r="H91" s="135">
        <v>4</v>
      </c>
      <c r="I91" s="135">
        <v>4</v>
      </c>
      <c r="J91" s="135">
        <v>5</v>
      </c>
      <c r="K91" s="135">
        <v>6</v>
      </c>
      <c r="L91" s="140">
        <v>6</v>
      </c>
      <c r="M91" s="140">
        <v>7</v>
      </c>
      <c r="N91" s="140">
        <v>8</v>
      </c>
      <c r="O91" s="140">
        <v>9</v>
      </c>
      <c r="P91" s="140">
        <v>9</v>
      </c>
      <c r="Q91" s="140">
        <v>10</v>
      </c>
      <c r="R91" s="140">
        <v>11</v>
      </c>
      <c r="S91" s="140">
        <v>11</v>
      </c>
      <c r="T91" s="140">
        <v>12</v>
      </c>
      <c r="U91" s="135">
        <v>13</v>
      </c>
      <c r="V91" s="135">
        <v>13</v>
      </c>
      <c r="W91" s="135">
        <v>14</v>
      </c>
      <c r="X91" s="135">
        <v>14</v>
      </c>
      <c r="Y91" s="135">
        <v>15</v>
      </c>
      <c r="Z91" s="135">
        <v>15</v>
      </c>
      <c r="AA91" s="135">
        <v>16</v>
      </c>
      <c r="AB91" s="135">
        <v>16</v>
      </c>
      <c r="AC91" s="135">
        <v>17</v>
      </c>
      <c r="AD91" s="135">
        <v>17</v>
      </c>
      <c r="AE91" s="135">
        <v>18</v>
      </c>
      <c r="AF91" s="135">
        <v>18</v>
      </c>
      <c r="AG91" s="136">
        <v>19</v>
      </c>
      <c r="AH91" s="136">
        <v>19</v>
      </c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7"/>
    </row>
    <row r="92" spans="1:64" ht="12.75">
      <c r="A92" s="110">
        <v>22</v>
      </c>
      <c r="B92" s="134">
        <v>1</v>
      </c>
      <c r="C92" s="135">
        <v>1</v>
      </c>
      <c r="D92" s="135">
        <v>2</v>
      </c>
      <c r="E92" s="135">
        <v>2</v>
      </c>
      <c r="F92" s="135">
        <v>3</v>
      </c>
      <c r="G92" s="135">
        <v>3</v>
      </c>
      <c r="H92" s="135">
        <v>4</v>
      </c>
      <c r="I92" s="135">
        <v>4</v>
      </c>
      <c r="J92" s="135">
        <v>5</v>
      </c>
      <c r="K92" s="135">
        <v>5</v>
      </c>
      <c r="L92" s="135">
        <v>6</v>
      </c>
      <c r="M92" s="135">
        <v>6</v>
      </c>
      <c r="N92" s="140">
        <v>7</v>
      </c>
      <c r="O92" s="140">
        <v>8</v>
      </c>
      <c r="P92" s="140">
        <v>9</v>
      </c>
      <c r="Q92" s="140">
        <v>10</v>
      </c>
      <c r="R92" s="135">
        <v>10</v>
      </c>
      <c r="S92" s="135">
        <v>11</v>
      </c>
      <c r="T92" s="135">
        <v>12</v>
      </c>
      <c r="U92" s="135">
        <v>13</v>
      </c>
      <c r="V92" s="135">
        <v>14</v>
      </c>
      <c r="W92" s="135">
        <v>14</v>
      </c>
      <c r="X92" s="135">
        <v>15</v>
      </c>
      <c r="Y92" s="135">
        <v>15</v>
      </c>
      <c r="Z92" s="135">
        <v>16</v>
      </c>
      <c r="AA92" s="135">
        <v>16</v>
      </c>
      <c r="AB92" s="135">
        <v>17</v>
      </c>
      <c r="AC92" s="135">
        <v>17</v>
      </c>
      <c r="AD92" s="135">
        <v>18</v>
      </c>
      <c r="AE92" s="135">
        <v>18</v>
      </c>
      <c r="AF92" s="135">
        <v>19</v>
      </c>
      <c r="AG92" s="136">
        <v>19</v>
      </c>
      <c r="AH92" s="136">
        <v>20</v>
      </c>
      <c r="AI92" s="136">
        <v>20</v>
      </c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7"/>
    </row>
    <row r="93" spans="1:64" ht="12.75">
      <c r="A93" s="110">
        <v>23</v>
      </c>
      <c r="B93" s="134">
        <v>1</v>
      </c>
      <c r="C93" s="135">
        <v>1</v>
      </c>
      <c r="D93" s="135">
        <v>2</v>
      </c>
      <c r="E93" s="135">
        <v>2</v>
      </c>
      <c r="F93" s="135">
        <v>3</v>
      </c>
      <c r="G93" s="135">
        <v>3</v>
      </c>
      <c r="H93" s="135">
        <v>4</v>
      </c>
      <c r="I93" s="135">
        <v>4</v>
      </c>
      <c r="J93" s="135">
        <v>5</v>
      </c>
      <c r="K93" s="135">
        <v>5</v>
      </c>
      <c r="L93" s="135">
        <v>6</v>
      </c>
      <c r="M93" s="135">
        <v>6</v>
      </c>
      <c r="N93" s="140">
        <v>7</v>
      </c>
      <c r="O93" s="140">
        <v>7</v>
      </c>
      <c r="P93" s="140">
        <v>8</v>
      </c>
      <c r="Q93" s="140">
        <v>9</v>
      </c>
      <c r="R93" s="140">
        <v>10</v>
      </c>
      <c r="S93" s="140">
        <v>11</v>
      </c>
      <c r="T93" s="135">
        <v>12</v>
      </c>
      <c r="U93" s="135">
        <v>12</v>
      </c>
      <c r="V93" s="135">
        <v>13</v>
      </c>
      <c r="W93" s="135">
        <v>14</v>
      </c>
      <c r="X93" s="140">
        <v>15</v>
      </c>
      <c r="Y93" s="135">
        <v>16</v>
      </c>
      <c r="Z93" s="135">
        <v>16</v>
      </c>
      <c r="AA93" s="135">
        <v>17</v>
      </c>
      <c r="AB93" s="135">
        <v>17</v>
      </c>
      <c r="AC93" s="135">
        <v>18</v>
      </c>
      <c r="AD93" s="135">
        <v>18</v>
      </c>
      <c r="AE93" s="135">
        <v>19</v>
      </c>
      <c r="AF93" s="135">
        <v>19</v>
      </c>
      <c r="AG93" s="136">
        <v>20</v>
      </c>
      <c r="AH93" s="136">
        <v>20</v>
      </c>
      <c r="AI93" s="136">
        <v>21</v>
      </c>
      <c r="AJ93" s="136">
        <v>21</v>
      </c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7"/>
    </row>
    <row r="94" spans="1:64" ht="12.75">
      <c r="A94" s="110">
        <v>24</v>
      </c>
      <c r="B94" s="134">
        <v>1</v>
      </c>
      <c r="C94" s="135">
        <v>1</v>
      </c>
      <c r="D94" s="135">
        <v>2</v>
      </c>
      <c r="E94" s="135">
        <v>2</v>
      </c>
      <c r="F94" s="135">
        <v>3</v>
      </c>
      <c r="G94" s="135">
        <v>3</v>
      </c>
      <c r="H94" s="135">
        <v>4</v>
      </c>
      <c r="I94" s="135">
        <v>4</v>
      </c>
      <c r="J94" s="135">
        <v>5</v>
      </c>
      <c r="K94" s="135">
        <v>5</v>
      </c>
      <c r="L94" s="135">
        <v>6</v>
      </c>
      <c r="M94" s="135">
        <v>6</v>
      </c>
      <c r="N94" s="140">
        <v>7</v>
      </c>
      <c r="O94" s="140">
        <v>7</v>
      </c>
      <c r="P94" s="140">
        <v>8</v>
      </c>
      <c r="Q94" s="140">
        <v>8</v>
      </c>
      <c r="R94" s="140">
        <v>9</v>
      </c>
      <c r="S94" s="140">
        <v>10</v>
      </c>
      <c r="T94" s="140">
        <v>11</v>
      </c>
      <c r="U94" s="140">
        <v>12</v>
      </c>
      <c r="V94" s="135">
        <v>13</v>
      </c>
      <c r="W94" s="135">
        <v>14</v>
      </c>
      <c r="X94" s="135">
        <v>15</v>
      </c>
      <c r="Y94" s="135">
        <v>16</v>
      </c>
      <c r="Z94" s="135">
        <v>17</v>
      </c>
      <c r="AA94" s="135">
        <v>17</v>
      </c>
      <c r="AB94" s="135">
        <v>18</v>
      </c>
      <c r="AC94" s="135">
        <v>18</v>
      </c>
      <c r="AD94" s="135">
        <v>19</v>
      </c>
      <c r="AE94" s="135">
        <v>19</v>
      </c>
      <c r="AF94" s="135">
        <v>20</v>
      </c>
      <c r="AG94" s="136">
        <v>20</v>
      </c>
      <c r="AH94" s="136">
        <v>21</v>
      </c>
      <c r="AI94" s="136">
        <v>21</v>
      </c>
      <c r="AJ94" s="136">
        <v>22</v>
      </c>
      <c r="AK94" s="136">
        <v>22</v>
      </c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7"/>
    </row>
    <row r="95" spans="1:64" ht="12.75">
      <c r="A95" s="110">
        <v>25</v>
      </c>
      <c r="B95" s="134">
        <v>1</v>
      </c>
      <c r="C95" s="135">
        <v>1</v>
      </c>
      <c r="D95" s="135">
        <v>2</v>
      </c>
      <c r="E95" s="135">
        <v>2</v>
      </c>
      <c r="F95" s="135">
        <v>3</v>
      </c>
      <c r="G95" s="135">
        <v>3</v>
      </c>
      <c r="H95" s="135">
        <v>4</v>
      </c>
      <c r="I95" s="135">
        <v>4</v>
      </c>
      <c r="J95" s="135">
        <v>5</v>
      </c>
      <c r="K95" s="135">
        <v>5</v>
      </c>
      <c r="L95" s="135">
        <v>6</v>
      </c>
      <c r="M95" s="135">
        <v>6</v>
      </c>
      <c r="N95" s="140">
        <v>7</v>
      </c>
      <c r="O95" s="140">
        <v>7</v>
      </c>
      <c r="P95" s="140">
        <v>8</v>
      </c>
      <c r="Q95" s="140">
        <v>8</v>
      </c>
      <c r="R95" s="140">
        <v>9</v>
      </c>
      <c r="S95" s="140">
        <v>9</v>
      </c>
      <c r="T95" s="135">
        <v>10</v>
      </c>
      <c r="U95" s="135">
        <v>11</v>
      </c>
      <c r="V95" s="135">
        <v>12</v>
      </c>
      <c r="W95" s="135">
        <v>13</v>
      </c>
      <c r="X95" s="135">
        <v>14</v>
      </c>
      <c r="Y95" s="135">
        <v>15</v>
      </c>
      <c r="Z95" s="140">
        <v>16</v>
      </c>
      <c r="AA95" s="135">
        <v>17</v>
      </c>
      <c r="AB95" s="135">
        <v>17</v>
      </c>
      <c r="AC95" s="135">
        <v>18</v>
      </c>
      <c r="AD95" s="135">
        <v>18</v>
      </c>
      <c r="AE95" s="135">
        <v>19</v>
      </c>
      <c r="AF95" s="135">
        <v>19</v>
      </c>
      <c r="AG95" s="136">
        <v>20</v>
      </c>
      <c r="AH95" s="136">
        <v>20</v>
      </c>
      <c r="AI95" s="136">
        <v>21</v>
      </c>
      <c r="AJ95" s="136">
        <v>21</v>
      </c>
      <c r="AK95" s="136">
        <v>22</v>
      </c>
      <c r="AL95" s="136">
        <v>22</v>
      </c>
      <c r="AM95" s="136">
        <v>23</v>
      </c>
      <c r="AN95" s="136">
        <v>23</v>
      </c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7"/>
    </row>
    <row r="96" spans="1:64" ht="12.75">
      <c r="A96" s="110">
        <v>26</v>
      </c>
      <c r="B96" s="134">
        <v>1</v>
      </c>
      <c r="C96" s="135">
        <v>1</v>
      </c>
      <c r="D96" s="135">
        <v>2</v>
      </c>
      <c r="E96" s="135">
        <v>2</v>
      </c>
      <c r="F96" s="135">
        <v>3</v>
      </c>
      <c r="G96" s="135">
        <v>3</v>
      </c>
      <c r="H96" s="135">
        <v>4</v>
      </c>
      <c r="I96" s="135">
        <v>4</v>
      </c>
      <c r="J96" s="135">
        <v>5</v>
      </c>
      <c r="K96" s="135">
        <v>5</v>
      </c>
      <c r="L96" s="135">
        <v>6</v>
      </c>
      <c r="M96" s="135">
        <v>6</v>
      </c>
      <c r="N96" s="135">
        <v>7</v>
      </c>
      <c r="O96" s="135">
        <v>7</v>
      </c>
      <c r="P96" s="135">
        <v>8</v>
      </c>
      <c r="Q96" s="135">
        <v>8</v>
      </c>
      <c r="R96" s="135">
        <v>9</v>
      </c>
      <c r="S96" s="135">
        <v>9</v>
      </c>
      <c r="T96" s="135">
        <v>10</v>
      </c>
      <c r="U96" s="135">
        <v>10</v>
      </c>
      <c r="V96" s="135">
        <v>11</v>
      </c>
      <c r="W96" s="135">
        <v>12</v>
      </c>
      <c r="X96" s="135">
        <v>13</v>
      </c>
      <c r="Y96" s="135">
        <v>14</v>
      </c>
      <c r="Z96" s="135">
        <v>14</v>
      </c>
      <c r="AA96" s="135">
        <v>15</v>
      </c>
      <c r="AB96" s="135">
        <v>16</v>
      </c>
      <c r="AC96" s="135">
        <v>17</v>
      </c>
      <c r="AD96" s="135">
        <v>18</v>
      </c>
      <c r="AE96" s="135">
        <v>18</v>
      </c>
      <c r="AF96" s="135">
        <v>19</v>
      </c>
      <c r="AG96" s="136">
        <v>19</v>
      </c>
      <c r="AH96" s="136">
        <v>20</v>
      </c>
      <c r="AI96" s="136">
        <v>20</v>
      </c>
      <c r="AJ96" s="136">
        <v>21</v>
      </c>
      <c r="AK96" s="136">
        <v>21</v>
      </c>
      <c r="AL96" s="136">
        <v>22</v>
      </c>
      <c r="AM96" s="136">
        <v>22</v>
      </c>
      <c r="AN96" s="136">
        <v>23</v>
      </c>
      <c r="AO96" s="136">
        <v>23</v>
      </c>
      <c r="AP96" s="136">
        <v>24</v>
      </c>
      <c r="AQ96" s="136">
        <v>24</v>
      </c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7"/>
    </row>
    <row r="97" spans="1:64" ht="12.75">
      <c r="A97" s="110">
        <v>27</v>
      </c>
      <c r="B97" s="134">
        <v>1</v>
      </c>
      <c r="C97" s="135">
        <v>1</v>
      </c>
      <c r="D97" s="135">
        <v>2</v>
      </c>
      <c r="E97" s="135">
        <v>2</v>
      </c>
      <c r="F97" s="135">
        <v>3</v>
      </c>
      <c r="G97" s="135">
        <v>3</v>
      </c>
      <c r="H97" s="135">
        <v>4</v>
      </c>
      <c r="I97" s="135">
        <v>4</v>
      </c>
      <c r="J97" s="135">
        <v>5</v>
      </c>
      <c r="K97" s="135">
        <v>5</v>
      </c>
      <c r="L97" s="135">
        <v>6</v>
      </c>
      <c r="M97" s="135">
        <v>6</v>
      </c>
      <c r="N97" s="135">
        <v>7</v>
      </c>
      <c r="O97" s="135">
        <v>7</v>
      </c>
      <c r="P97" s="135">
        <v>8</v>
      </c>
      <c r="Q97" s="135">
        <v>8</v>
      </c>
      <c r="R97" s="135">
        <v>9</v>
      </c>
      <c r="S97" s="135">
        <v>9</v>
      </c>
      <c r="T97" s="135">
        <v>10</v>
      </c>
      <c r="U97" s="135">
        <v>10</v>
      </c>
      <c r="V97" s="135">
        <v>11</v>
      </c>
      <c r="W97" s="135">
        <v>12</v>
      </c>
      <c r="X97" s="135">
        <v>13</v>
      </c>
      <c r="Y97" s="135">
        <v>14</v>
      </c>
      <c r="Z97" s="135">
        <v>15</v>
      </c>
      <c r="AA97" s="135">
        <v>16</v>
      </c>
      <c r="AB97" s="135">
        <v>16</v>
      </c>
      <c r="AC97" s="135">
        <v>17</v>
      </c>
      <c r="AD97" s="135">
        <v>18</v>
      </c>
      <c r="AE97" s="135">
        <v>18</v>
      </c>
      <c r="AF97" s="135">
        <v>19</v>
      </c>
      <c r="AG97" s="136">
        <v>20</v>
      </c>
      <c r="AH97" s="136">
        <v>20</v>
      </c>
      <c r="AI97" s="136">
        <v>21</v>
      </c>
      <c r="AJ97" s="136">
        <v>21</v>
      </c>
      <c r="AK97" s="136">
        <v>22</v>
      </c>
      <c r="AL97" s="136">
        <v>22</v>
      </c>
      <c r="AM97" s="136">
        <v>23</v>
      </c>
      <c r="AN97" s="136">
        <v>23</v>
      </c>
      <c r="AO97" s="136">
        <v>24</v>
      </c>
      <c r="AP97" s="136">
        <v>24</v>
      </c>
      <c r="AQ97" s="136">
        <v>25</v>
      </c>
      <c r="AR97" s="136">
        <v>25</v>
      </c>
      <c r="AS97" s="136">
        <v>26</v>
      </c>
      <c r="AT97" s="136">
        <v>26</v>
      </c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7"/>
    </row>
    <row r="98" spans="1:64" ht="12.75">
      <c r="A98" s="110">
        <v>28</v>
      </c>
      <c r="B98" s="134">
        <v>1</v>
      </c>
      <c r="C98" s="135">
        <v>1</v>
      </c>
      <c r="D98" s="135">
        <v>2</v>
      </c>
      <c r="E98" s="135">
        <v>2</v>
      </c>
      <c r="F98" s="135">
        <v>3</v>
      </c>
      <c r="G98" s="135">
        <v>3</v>
      </c>
      <c r="H98" s="135">
        <v>4</v>
      </c>
      <c r="I98" s="135">
        <v>4</v>
      </c>
      <c r="J98" s="135">
        <v>5</v>
      </c>
      <c r="K98" s="135">
        <v>5</v>
      </c>
      <c r="L98" s="135">
        <v>6</v>
      </c>
      <c r="M98" s="135">
        <v>6</v>
      </c>
      <c r="N98" s="135">
        <v>7</v>
      </c>
      <c r="O98" s="135">
        <v>7</v>
      </c>
      <c r="P98" s="135">
        <v>8</v>
      </c>
      <c r="Q98" s="135">
        <v>8</v>
      </c>
      <c r="R98" s="135">
        <v>9</v>
      </c>
      <c r="S98" s="135">
        <v>9</v>
      </c>
      <c r="T98" s="135">
        <v>10</v>
      </c>
      <c r="U98" s="135">
        <v>10</v>
      </c>
      <c r="V98" s="135">
        <v>11</v>
      </c>
      <c r="W98" s="135">
        <v>11</v>
      </c>
      <c r="X98" s="135">
        <v>12</v>
      </c>
      <c r="Y98" s="135">
        <v>12</v>
      </c>
      <c r="Z98" s="135">
        <v>13</v>
      </c>
      <c r="AA98" s="135">
        <v>13</v>
      </c>
      <c r="AB98" s="135">
        <v>14</v>
      </c>
      <c r="AC98" s="135">
        <v>14</v>
      </c>
      <c r="AD98" s="135">
        <v>15</v>
      </c>
      <c r="AE98" s="135">
        <v>15</v>
      </c>
      <c r="AF98" s="135">
        <v>16</v>
      </c>
      <c r="AG98" s="136">
        <v>16</v>
      </c>
      <c r="AH98" s="136">
        <v>17</v>
      </c>
      <c r="AI98" s="136">
        <v>17</v>
      </c>
      <c r="AJ98" s="136">
        <v>18</v>
      </c>
      <c r="AK98" s="136">
        <v>18</v>
      </c>
      <c r="AL98" s="136">
        <v>19</v>
      </c>
      <c r="AM98" s="136">
        <v>19</v>
      </c>
      <c r="AN98" s="136">
        <v>20</v>
      </c>
      <c r="AO98" s="136">
        <v>20</v>
      </c>
      <c r="AP98" s="136">
        <v>21</v>
      </c>
      <c r="AQ98" s="136">
        <v>21</v>
      </c>
      <c r="AR98" s="136">
        <v>22</v>
      </c>
      <c r="AS98" s="136">
        <v>22</v>
      </c>
      <c r="AT98" s="136">
        <v>23</v>
      </c>
      <c r="AU98" s="136">
        <v>23</v>
      </c>
      <c r="AV98" s="136">
        <v>24</v>
      </c>
      <c r="AW98" s="136">
        <v>24</v>
      </c>
      <c r="AX98" s="136">
        <v>25</v>
      </c>
      <c r="AY98" s="136">
        <v>25</v>
      </c>
      <c r="AZ98" s="136">
        <v>26</v>
      </c>
      <c r="BA98" s="136">
        <v>26</v>
      </c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7"/>
    </row>
    <row r="99" spans="1:64" ht="12.75">
      <c r="A99" s="110">
        <v>29</v>
      </c>
      <c r="B99" s="134">
        <v>1</v>
      </c>
      <c r="C99" s="135">
        <v>1</v>
      </c>
      <c r="D99" s="135">
        <v>2</v>
      </c>
      <c r="E99" s="135">
        <v>2</v>
      </c>
      <c r="F99" s="135">
        <v>3</v>
      </c>
      <c r="G99" s="135">
        <v>3</v>
      </c>
      <c r="H99" s="135">
        <v>4</v>
      </c>
      <c r="I99" s="135">
        <v>4</v>
      </c>
      <c r="J99" s="135">
        <v>5</v>
      </c>
      <c r="K99" s="135">
        <v>5</v>
      </c>
      <c r="L99" s="135">
        <v>6</v>
      </c>
      <c r="M99" s="135">
        <v>6</v>
      </c>
      <c r="N99" s="135">
        <v>7</v>
      </c>
      <c r="O99" s="135">
        <v>7</v>
      </c>
      <c r="P99" s="135">
        <v>8</v>
      </c>
      <c r="Q99" s="135">
        <v>8</v>
      </c>
      <c r="R99" s="135">
        <v>9</v>
      </c>
      <c r="S99" s="135">
        <v>9</v>
      </c>
      <c r="T99" s="135">
        <v>10</v>
      </c>
      <c r="U99" s="135">
        <v>10</v>
      </c>
      <c r="V99" s="135">
        <v>11</v>
      </c>
      <c r="W99" s="135">
        <v>11</v>
      </c>
      <c r="X99" s="135">
        <v>12</v>
      </c>
      <c r="Y99" s="135">
        <v>12</v>
      </c>
      <c r="Z99" s="135">
        <v>13</v>
      </c>
      <c r="AA99" s="135">
        <v>13</v>
      </c>
      <c r="AB99" s="135">
        <v>14</v>
      </c>
      <c r="AC99" s="135">
        <v>14</v>
      </c>
      <c r="AD99" s="135">
        <v>15</v>
      </c>
      <c r="AE99" s="135">
        <v>15</v>
      </c>
      <c r="AF99" s="135">
        <v>16</v>
      </c>
      <c r="AG99" s="136">
        <v>16</v>
      </c>
      <c r="AH99" s="136">
        <v>17</v>
      </c>
      <c r="AI99" s="136">
        <v>18</v>
      </c>
      <c r="AJ99" s="136">
        <v>18</v>
      </c>
      <c r="AK99" s="136">
        <v>19</v>
      </c>
      <c r="AL99" s="136">
        <v>19</v>
      </c>
      <c r="AM99" s="136">
        <v>20</v>
      </c>
      <c r="AN99" s="136">
        <v>20</v>
      </c>
      <c r="AO99" s="136">
        <v>21</v>
      </c>
      <c r="AP99" s="136">
        <v>21</v>
      </c>
      <c r="AQ99" s="136">
        <v>22</v>
      </c>
      <c r="AR99" s="136">
        <v>22</v>
      </c>
      <c r="AS99" s="136">
        <v>23</v>
      </c>
      <c r="AT99" s="136">
        <v>23</v>
      </c>
      <c r="AU99" s="136">
        <v>24</v>
      </c>
      <c r="AV99" s="136">
        <v>24</v>
      </c>
      <c r="AW99" s="136">
        <v>25</v>
      </c>
      <c r="AX99" s="136">
        <v>25</v>
      </c>
      <c r="AY99" s="136">
        <v>26</v>
      </c>
      <c r="AZ99" s="136">
        <v>26</v>
      </c>
      <c r="BA99" s="136">
        <v>27</v>
      </c>
      <c r="BB99" s="136">
        <v>27</v>
      </c>
      <c r="BC99" s="136"/>
      <c r="BD99" s="136"/>
      <c r="BE99" s="136"/>
      <c r="BF99" s="136"/>
      <c r="BG99" s="136"/>
      <c r="BH99" s="136"/>
      <c r="BI99" s="136"/>
      <c r="BJ99" s="136"/>
      <c r="BK99" s="136"/>
      <c r="BL99" s="137"/>
    </row>
    <row r="100" spans="1:64" ht="12.75">
      <c r="A100" s="110">
        <v>30</v>
      </c>
      <c r="B100" s="134">
        <v>1</v>
      </c>
      <c r="C100" s="135">
        <v>1</v>
      </c>
      <c r="D100" s="135">
        <v>2</v>
      </c>
      <c r="E100" s="135">
        <v>2</v>
      </c>
      <c r="F100" s="135">
        <v>3</v>
      </c>
      <c r="G100" s="135">
        <v>3</v>
      </c>
      <c r="H100" s="135">
        <v>4</v>
      </c>
      <c r="I100" s="135">
        <v>4</v>
      </c>
      <c r="J100" s="135">
        <v>5</v>
      </c>
      <c r="K100" s="135">
        <v>5</v>
      </c>
      <c r="L100" s="135">
        <v>6</v>
      </c>
      <c r="M100" s="135">
        <v>6</v>
      </c>
      <c r="N100" s="135">
        <v>7</v>
      </c>
      <c r="O100" s="135">
        <v>7</v>
      </c>
      <c r="P100" s="135">
        <v>8</v>
      </c>
      <c r="Q100" s="135">
        <v>8</v>
      </c>
      <c r="R100" s="135">
        <v>9</v>
      </c>
      <c r="S100" s="135">
        <v>9</v>
      </c>
      <c r="T100" s="135">
        <v>10</v>
      </c>
      <c r="U100" s="135">
        <v>10</v>
      </c>
      <c r="V100" s="135">
        <v>11</v>
      </c>
      <c r="W100" s="135">
        <v>11</v>
      </c>
      <c r="X100" s="135">
        <v>12</v>
      </c>
      <c r="Y100" s="135">
        <v>12</v>
      </c>
      <c r="Z100" s="135">
        <v>13</v>
      </c>
      <c r="AA100" s="135">
        <v>13</v>
      </c>
      <c r="AB100" s="135">
        <v>14</v>
      </c>
      <c r="AC100" s="135">
        <v>14</v>
      </c>
      <c r="AD100" s="135">
        <v>15</v>
      </c>
      <c r="AE100" s="135">
        <v>15</v>
      </c>
      <c r="AF100" s="135">
        <v>16</v>
      </c>
      <c r="AG100" s="136">
        <v>16</v>
      </c>
      <c r="AH100" s="136">
        <v>17</v>
      </c>
      <c r="AI100" s="136">
        <v>17</v>
      </c>
      <c r="AJ100" s="136">
        <v>18</v>
      </c>
      <c r="AK100" s="136">
        <v>19</v>
      </c>
      <c r="AL100" s="136">
        <v>19</v>
      </c>
      <c r="AM100" s="136">
        <v>20</v>
      </c>
      <c r="AN100" s="136">
        <v>20</v>
      </c>
      <c r="AO100" s="136">
        <v>21</v>
      </c>
      <c r="AP100" s="136">
        <v>21</v>
      </c>
      <c r="AQ100" s="136">
        <v>22</v>
      </c>
      <c r="AR100" s="136">
        <v>23</v>
      </c>
      <c r="AS100" s="136">
        <v>23</v>
      </c>
      <c r="AT100" s="136">
        <v>24</v>
      </c>
      <c r="AU100" s="136">
        <v>24</v>
      </c>
      <c r="AV100" s="136">
        <v>25</v>
      </c>
      <c r="AW100" s="136">
        <v>25</v>
      </c>
      <c r="AX100" s="136">
        <v>26</v>
      </c>
      <c r="AY100" s="136">
        <v>26</v>
      </c>
      <c r="AZ100" s="136">
        <v>27</v>
      </c>
      <c r="BA100" s="136">
        <v>27</v>
      </c>
      <c r="BB100" s="136">
        <v>28</v>
      </c>
      <c r="BC100" s="136">
        <v>28</v>
      </c>
      <c r="BD100" s="136"/>
      <c r="BE100" s="136"/>
      <c r="BF100" s="136"/>
      <c r="BG100" s="136"/>
      <c r="BH100" s="136"/>
      <c r="BI100" s="136"/>
      <c r="BJ100" s="136"/>
      <c r="BK100" s="136"/>
      <c r="BL100" s="137"/>
    </row>
    <row r="101" spans="1:64" ht="12.75">
      <c r="A101" s="110">
        <v>31</v>
      </c>
      <c r="B101" s="134">
        <v>1</v>
      </c>
      <c r="C101" s="135">
        <v>1</v>
      </c>
      <c r="D101" s="135">
        <v>2</v>
      </c>
      <c r="E101" s="135">
        <v>2</v>
      </c>
      <c r="F101" s="135">
        <v>3</v>
      </c>
      <c r="G101" s="135">
        <v>3</v>
      </c>
      <c r="H101" s="135">
        <v>4</v>
      </c>
      <c r="I101" s="135">
        <v>4</v>
      </c>
      <c r="J101" s="135">
        <v>5</v>
      </c>
      <c r="K101" s="135">
        <v>5</v>
      </c>
      <c r="L101" s="135">
        <v>6</v>
      </c>
      <c r="M101" s="135">
        <v>6</v>
      </c>
      <c r="N101" s="135">
        <v>7</v>
      </c>
      <c r="O101" s="135">
        <v>7</v>
      </c>
      <c r="P101" s="135">
        <v>8</v>
      </c>
      <c r="Q101" s="135">
        <v>8</v>
      </c>
      <c r="R101" s="135">
        <v>9</v>
      </c>
      <c r="S101" s="135">
        <v>9</v>
      </c>
      <c r="T101" s="135">
        <v>10</v>
      </c>
      <c r="U101" s="135">
        <v>10</v>
      </c>
      <c r="V101" s="135">
        <v>11</v>
      </c>
      <c r="W101" s="135">
        <v>11</v>
      </c>
      <c r="X101" s="135">
        <v>12</v>
      </c>
      <c r="Y101" s="135">
        <v>12</v>
      </c>
      <c r="Z101" s="135">
        <v>13</v>
      </c>
      <c r="AA101" s="135">
        <v>13</v>
      </c>
      <c r="AB101" s="135">
        <v>14</v>
      </c>
      <c r="AC101" s="135">
        <v>14</v>
      </c>
      <c r="AD101" s="135">
        <v>15</v>
      </c>
      <c r="AE101" s="135">
        <v>15</v>
      </c>
      <c r="AF101" s="135">
        <v>16</v>
      </c>
      <c r="AG101" s="136">
        <v>16</v>
      </c>
      <c r="AH101" s="136">
        <v>17</v>
      </c>
      <c r="AI101" s="136">
        <v>17</v>
      </c>
      <c r="AJ101" s="136">
        <v>18</v>
      </c>
      <c r="AK101" s="136">
        <v>18</v>
      </c>
      <c r="AL101" s="136">
        <v>19</v>
      </c>
      <c r="AM101" s="136">
        <v>19</v>
      </c>
      <c r="AN101" s="136">
        <v>20</v>
      </c>
      <c r="AO101" s="136">
        <v>20</v>
      </c>
      <c r="AP101" s="136">
        <v>21</v>
      </c>
      <c r="AQ101" s="136">
        <v>21</v>
      </c>
      <c r="AR101" s="136">
        <v>22</v>
      </c>
      <c r="AS101" s="136">
        <v>22</v>
      </c>
      <c r="AT101" s="136">
        <v>23</v>
      </c>
      <c r="AU101" s="136">
        <v>24</v>
      </c>
      <c r="AV101" s="136">
        <v>24</v>
      </c>
      <c r="AW101" s="136">
        <v>25</v>
      </c>
      <c r="AX101" s="136">
        <v>25</v>
      </c>
      <c r="AY101" s="136">
        <v>26</v>
      </c>
      <c r="AZ101" s="136">
        <v>26</v>
      </c>
      <c r="BA101" s="136">
        <v>27</v>
      </c>
      <c r="BB101" s="136">
        <v>27</v>
      </c>
      <c r="BC101" s="136">
        <v>28</v>
      </c>
      <c r="BD101" s="136">
        <v>28</v>
      </c>
      <c r="BE101" s="136">
        <v>29</v>
      </c>
      <c r="BF101" s="136">
        <v>29</v>
      </c>
      <c r="BG101" s="136"/>
      <c r="BH101" s="136"/>
      <c r="BI101" s="136"/>
      <c r="BJ101" s="136"/>
      <c r="BK101" s="136"/>
      <c r="BL101" s="137"/>
    </row>
    <row r="102" spans="1:64" ht="13.5" thickBot="1">
      <c r="A102" s="125">
        <v>32</v>
      </c>
      <c r="B102" s="141">
        <v>1</v>
      </c>
      <c r="C102" s="142">
        <v>1</v>
      </c>
      <c r="D102" s="142">
        <v>2</v>
      </c>
      <c r="E102" s="142">
        <v>2</v>
      </c>
      <c r="F102" s="142">
        <v>3</v>
      </c>
      <c r="G102" s="142">
        <v>3</v>
      </c>
      <c r="H102" s="142">
        <v>4</v>
      </c>
      <c r="I102" s="142">
        <v>4</v>
      </c>
      <c r="J102" s="142">
        <v>5</v>
      </c>
      <c r="K102" s="142">
        <v>5</v>
      </c>
      <c r="L102" s="142">
        <v>6</v>
      </c>
      <c r="M102" s="142">
        <v>6</v>
      </c>
      <c r="N102" s="142">
        <v>7</v>
      </c>
      <c r="O102" s="142">
        <v>7</v>
      </c>
      <c r="P102" s="142">
        <v>8</v>
      </c>
      <c r="Q102" s="142">
        <v>8</v>
      </c>
      <c r="R102" s="142">
        <v>9</v>
      </c>
      <c r="S102" s="142">
        <v>9</v>
      </c>
      <c r="T102" s="142">
        <v>10</v>
      </c>
      <c r="U102" s="142">
        <v>10</v>
      </c>
      <c r="V102" s="142">
        <v>11</v>
      </c>
      <c r="W102" s="142">
        <v>11</v>
      </c>
      <c r="X102" s="142">
        <v>12</v>
      </c>
      <c r="Y102" s="142">
        <v>12</v>
      </c>
      <c r="Z102" s="142">
        <v>13</v>
      </c>
      <c r="AA102" s="142">
        <v>13</v>
      </c>
      <c r="AB102" s="142">
        <v>14</v>
      </c>
      <c r="AC102" s="142">
        <v>14</v>
      </c>
      <c r="AD102" s="142">
        <v>15</v>
      </c>
      <c r="AE102" s="142">
        <v>15</v>
      </c>
      <c r="AF102" s="142">
        <v>16</v>
      </c>
      <c r="AG102" s="143">
        <v>16</v>
      </c>
      <c r="AH102" s="143">
        <v>17</v>
      </c>
      <c r="AI102" s="143">
        <v>17</v>
      </c>
      <c r="AJ102" s="143">
        <v>18</v>
      </c>
      <c r="AK102" s="143">
        <v>18</v>
      </c>
      <c r="AL102" s="143">
        <v>19</v>
      </c>
      <c r="AM102" s="143">
        <v>19</v>
      </c>
      <c r="AN102" s="143">
        <v>20</v>
      </c>
      <c r="AO102" s="143">
        <v>20</v>
      </c>
      <c r="AP102" s="143">
        <v>21</v>
      </c>
      <c r="AQ102" s="143">
        <v>21</v>
      </c>
      <c r="AR102" s="143">
        <v>22</v>
      </c>
      <c r="AS102" s="143">
        <v>22</v>
      </c>
      <c r="AT102" s="143">
        <v>23</v>
      </c>
      <c r="AU102" s="143">
        <v>23</v>
      </c>
      <c r="AV102" s="143">
        <v>24</v>
      </c>
      <c r="AW102" s="143">
        <v>24</v>
      </c>
      <c r="AX102" s="143">
        <v>25</v>
      </c>
      <c r="AY102" s="143">
        <v>25</v>
      </c>
      <c r="AZ102" s="143">
        <v>26</v>
      </c>
      <c r="BA102" s="143">
        <v>26</v>
      </c>
      <c r="BB102" s="143">
        <v>27</v>
      </c>
      <c r="BC102" s="143">
        <v>27</v>
      </c>
      <c r="BD102" s="143">
        <v>28</v>
      </c>
      <c r="BE102" s="143">
        <v>28</v>
      </c>
      <c r="BF102" s="143">
        <v>29</v>
      </c>
      <c r="BG102" s="142">
        <v>29</v>
      </c>
      <c r="BH102" s="143">
        <v>30</v>
      </c>
      <c r="BI102" s="143">
        <v>30</v>
      </c>
      <c r="BJ102" s="143"/>
      <c r="BK102" s="143"/>
      <c r="BL102" s="144"/>
    </row>
    <row r="103" ht="13.5" thickBot="1"/>
    <row r="104" spans="24:28" ht="13.5" thickBot="1">
      <c r="X104" s="420" t="s">
        <v>99</v>
      </c>
      <c r="Y104" s="421"/>
      <c r="Z104" s="421"/>
      <c r="AA104" s="421"/>
      <c r="AB104" s="422"/>
    </row>
    <row r="105" spans="1:28" ht="13.5" thickBot="1">
      <c r="A105" s="427" t="s">
        <v>100</v>
      </c>
      <c r="B105" s="427"/>
      <c r="C105" s="427"/>
      <c r="D105" s="427"/>
      <c r="E105" s="427"/>
      <c r="F105" s="427"/>
      <c r="G105" s="3"/>
      <c r="H105" s="427" t="s">
        <v>101</v>
      </c>
      <c r="I105" s="427"/>
      <c r="J105" s="427"/>
      <c r="K105" s="427"/>
      <c r="L105" s="427"/>
      <c r="M105" s="427"/>
      <c r="N105" s="3"/>
      <c r="O105" s="427" t="s">
        <v>102</v>
      </c>
      <c r="P105" s="427"/>
      <c r="Q105" s="427"/>
      <c r="R105" s="427"/>
      <c r="S105" s="427"/>
      <c r="T105" s="427"/>
      <c r="X105" s="145">
        <v>1</v>
      </c>
      <c r="Y105" s="146"/>
      <c r="Z105" s="146"/>
      <c r="AA105" s="146"/>
      <c r="AB105" s="13"/>
    </row>
    <row r="106" spans="1:28" ht="12.75">
      <c r="A106" s="16">
        <v>1</v>
      </c>
      <c r="B106" s="147" t="str">
        <f>B_4</f>
        <v>H-75KG</v>
      </c>
      <c r="C106" s="148">
        <f aca="true" t="shared" si="0" ref="C106:C139">IF(B106=0," - ",IF(VLOOKUP(B106,MatteFordeling,5,FALSE)&lt;&gt;"A",0,VLOOKUP(B106,Tab2B,2,FALSE)))</f>
        <v>8</v>
      </c>
      <c r="D106" s="149" t="str">
        <f>IF(C106=0," - ",IF(VLOOKUP(C106,Tab3,2,FALSE)=0," - ",IF(VLOOKUP(C106,Tab3,2,FALSE)=1,MAX(F105)+1,MAX(F105)+1&amp;" - "&amp;MAX(F105)+C106-4)))</f>
        <v>1 - 4</v>
      </c>
      <c r="E106" s="149" t="str">
        <f>IF(C106=0," - ",IF(C106=2," - ",IF(C106=1,1,IF(AND(D106=" - ",C106&lt;&gt;0),MAX(F105)+1&amp;" - "&amp;MAX(F105)+2,ABS(RIGHT(D106,2))+1&amp;" - "&amp;ABS(RIGHT(D106,2))+2))))</f>
        <v>5 - 6</v>
      </c>
      <c r="F106" s="150">
        <f aca="true" t="shared" si="1" ref="F106:F139">IF(D106=" - ",0,ABS(RIGHT(D106,2)))</f>
        <v>4</v>
      </c>
      <c r="G106" s="150">
        <f aca="true" t="shared" si="2" ref="G106:G139">IF(E106=" - ",0,ABS(RIGHT(E106,2)))</f>
        <v>6</v>
      </c>
      <c r="H106" s="2">
        <v>1</v>
      </c>
      <c r="I106" s="147" t="str">
        <f>B_4</f>
        <v>H-75KG</v>
      </c>
      <c r="J106" s="151">
        <f aca="true" t="shared" si="3" ref="J106:J139">IF(B106=0," - ",IF(VLOOKUP(B106,MatteFordeling,5,FALSE)&lt;&gt;"B",0,VLOOKUP(B106,Tab2B,2,FALSE)))</f>
        <v>0</v>
      </c>
      <c r="K106" s="151" t="str">
        <f>IF(J106=0," - ",IF(VLOOKUP(J106,Tab3,2,FALSE)=0," - ",IF(VLOOKUP(J106,Tab3,2,FALSE)=1,MAX(M105)+1,MAX(M105)+1&amp;" - "&amp;MAX(M105)+J106-4)))</f>
        <v> - </v>
      </c>
      <c r="L106" s="151" t="str">
        <f>IF(J106=0," - ",IF(J106=2," - ",IF(J106=1,1,IF(AND(K106=" - ",J106&lt;&gt;0),MAX(M105)+1&amp;" - "&amp;MAX(M105)+2,ABS(RIGHT(K106,2))+1&amp;" - "&amp;ABS(RIGHT(K106,2))+2))))</f>
        <v> - </v>
      </c>
      <c r="M106" s="150">
        <f aca="true" t="shared" si="4" ref="M106:M139">IF(K106=" - ",0,ABS(RIGHT(K106,2)))</f>
        <v>0</v>
      </c>
      <c r="N106" s="150">
        <f aca="true" t="shared" si="5" ref="N106:N139">IF(L106=" - ",0,ABS(RIGHT(L106,2)))</f>
        <v>0</v>
      </c>
      <c r="O106" s="2">
        <v>1</v>
      </c>
      <c r="P106" s="147" t="str">
        <f>B_4</f>
        <v>H-75KG</v>
      </c>
      <c r="Q106" s="152">
        <f aca="true" t="shared" si="6" ref="Q106:Q139">IF(B106=0," - ",IF(VLOOKUP(B106,MatteFordeling,5,FALSE)&lt;&gt;"C",0,VLOOKUP(B106,Tab2B,2,FALSE)))</f>
        <v>0</v>
      </c>
      <c r="R106" s="151" t="str">
        <f>IF(Q106=0," - ",IF(VLOOKUP(Q106,Tab3,2,FALSE)=0," - ",IF(VLOOKUP(Q106,Tab3,2,FALSE)=1,MAX(T105)+1,MAX(T105)+1&amp;" - "&amp;MAX(T105)+Q106-4)))</f>
        <v> - </v>
      </c>
      <c r="S106" s="151" t="str">
        <f>IF(Q106=0," - ",IF(Q106=2," - ",IF(Q106=1,1,IF(AND(R106=" - ",Q106&lt;&gt;0),MAX(T105)+1&amp;" - "&amp;MAX(T105)+2,ABS(RIGHT(R106,2))+1&amp;" - "&amp;ABS(RIGHT(R106,2))+2))))</f>
        <v> - </v>
      </c>
      <c r="T106" s="150">
        <f aca="true" t="shared" si="7" ref="T106:T139">IF(R106=" - ",0,ABS(RIGHT(R106,2)))</f>
        <v>0</v>
      </c>
      <c r="U106" s="153">
        <f aca="true" t="shared" si="8" ref="U106:U139">IF(S106=" - ",0,ABS(RIGHT(S106,2)))</f>
        <v>0</v>
      </c>
      <c r="X106" s="31">
        <v>2</v>
      </c>
      <c r="Y106" s="7"/>
      <c r="Z106" s="7"/>
      <c r="AA106" s="7"/>
      <c r="AB106" s="20"/>
    </row>
    <row r="107" spans="1:28" ht="12.75">
      <c r="A107" s="12">
        <v>2</v>
      </c>
      <c r="B107" s="154" t="str">
        <f>HjArk!B5</f>
        <v>H-85KG</v>
      </c>
      <c r="C107" s="155">
        <f t="shared" si="0"/>
        <v>0</v>
      </c>
      <c r="D107" s="156" t="str">
        <f aca="true" ca="1" t="shared" si="9" ref="D107:D139">IF(B107=0," - ",IF(C107=0," - ",IF(VLOOKUP(C107,Tab3,2,FALSE)=0," - ",IF(VLOOKUP(C107,Tab3,2,FALSE)=1,MAX(OFFSET(G106,0,0,-A106))+1,MAX(OFFSET(G106,0,0,-A106))+1&amp;" - "&amp;MAX(OFFSET(G106,0,0,-A106))+C107-4))))</f>
        <v> - </v>
      </c>
      <c r="E107" s="156" t="str">
        <f aca="true" ca="1" t="shared" si="10" ref="E107:E139">IF(B107=0," - ",IF(C107=0," - ",IF(C107=2," - ",IF(C107=3,MAX(OFFSET(G106,0,0,-A106))+1,IF(AND(D107=" - ",C107&lt;&gt;0),MAX(OFFSET(G106,0,0,-A106))+1&amp;" - "&amp;MAX(OFFSET(G106,0,0,-A106))+2,ABS(RIGHT(D107,2))+1&amp;" - "&amp;ABS(RIGHT(D107,2))+2)))))</f>
        <v> - </v>
      </c>
      <c r="F107" s="157">
        <f t="shared" si="1"/>
        <v>0</v>
      </c>
      <c r="G107" s="158">
        <f t="shared" si="2"/>
        <v>0</v>
      </c>
      <c r="H107" s="1">
        <v>2</v>
      </c>
      <c r="I107" s="154" t="str">
        <f>HjArk!B5</f>
        <v>H-85KG</v>
      </c>
      <c r="J107" s="159">
        <f t="shared" si="3"/>
        <v>8</v>
      </c>
      <c r="K107" s="159" t="str">
        <f aca="true" ca="1" t="shared" si="11" ref="K107:K139">IF(I107=0," - ",IF(J107=0," - ",IF(VLOOKUP(J107,Tab3,2,FALSE)=0," - ",IF(VLOOKUP(J107,Tab3,2,FALSE)=1,MAX(OFFSET(N106,0,0,-H106))+1,MAX(OFFSET(N106,0,0,-H106))+1&amp;" - "&amp;MAX(OFFSET(N106,0,0,-H106))+J107-4))))</f>
        <v>1 - 4</v>
      </c>
      <c r="L107" s="159" t="str">
        <f aca="true" ca="1" t="shared" si="12" ref="L107:L139">IF(I107=0," - ",IF(J107=0," - ",IF(J107=2," - ",IF(J107=3,MAX(OFFSET(N106,0,0,-H106))+1,IF(AND(K107=" - ",J107&lt;&gt;0),MAX(OFFSET(N106,0,0,-H106))+1&amp;" - "&amp;MAX(OFFSET(N106,0,0,-H106))+2,ABS(RIGHT(K107,2))+1&amp;" - "&amp;ABS(RIGHT(K107,2))+2)))))</f>
        <v>5 - 6</v>
      </c>
      <c r="M107" s="157">
        <f t="shared" si="4"/>
        <v>4</v>
      </c>
      <c r="N107" s="157">
        <f t="shared" si="5"/>
        <v>6</v>
      </c>
      <c r="O107" s="1">
        <v>2</v>
      </c>
      <c r="P107" s="154" t="str">
        <f>HjArk!B5</f>
        <v>H-85KG</v>
      </c>
      <c r="Q107" s="160">
        <f t="shared" si="6"/>
        <v>0</v>
      </c>
      <c r="R107" s="159" t="str">
        <f aca="true" ca="1" t="shared" si="13" ref="R107:R139">IF(P107=0," - ",IF(Q107=0," - ",IF(VLOOKUP(Q107,Tab3,2,FALSE)=0," - ",IF(VLOOKUP(Q107,Tab3,2,FALSE)=1,MAX(OFFSET(U106,0,0,-O106))+1,MAX(OFFSET(U106,0,0,-O106))+1&amp;" - "&amp;MAX(OFFSET(U106,0,0,-O106))+Q107-4))))</f>
        <v> - </v>
      </c>
      <c r="S107" s="159" t="str">
        <f aca="true" ca="1" t="shared" si="14" ref="S107:S139">IF(P107=0," - ",IF(Q107=0," - ",IF(Q107=2," - ",IF(Q107=3,MAX(OFFSET(U106,0,0,-O106))+1,IF(AND(R107=" - ",Q107&lt;&gt;0),MAX(OFFSET(U106,0,0,-O106))+1&amp;" - "&amp;MAX(OFFSET(U106,0,0,-O106))+2,ABS(RIGHT(R107,2))+1&amp;" - "&amp;ABS(RIGHT(R107,2))+2)))))</f>
        <v> - </v>
      </c>
      <c r="T107" s="157">
        <f t="shared" si="7"/>
        <v>0</v>
      </c>
      <c r="U107" s="161">
        <f t="shared" si="8"/>
        <v>0</v>
      </c>
      <c r="X107" s="31">
        <v>3</v>
      </c>
      <c r="Y107" s="7" t="s">
        <v>42</v>
      </c>
      <c r="Z107" s="7"/>
      <c r="AA107" s="7"/>
      <c r="AB107" s="20"/>
    </row>
    <row r="108" spans="1:28" ht="12.75">
      <c r="A108" s="12">
        <v>3</v>
      </c>
      <c r="B108" s="154" t="str">
        <f>HjArk!B6</f>
        <v>D+62KG</v>
      </c>
      <c r="C108" s="155">
        <f t="shared" si="0"/>
        <v>6</v>
      </c>
      <c r="D108" s="156" t="str">
        <f ca="1" t="shared" si="9"/>
        <v>7 - 8</v>
      </c>
      <c r="E108" s="156" t="str">
        <f ca="1" t="shared" si="10"/>
        <v>9 - 10</v>
      </c>
      <c r="F108" s="157">
        <f t="shared" si="1"/>
        <v>8</v>
      </c>
      <c r="G108" s="158">
        <f t="shared" si="2"/>
        <v>10</v>
      </c>
      <c r="H108" s="1">
        <v>3</v>
      </c>
      <c r="I108" s="154" t="str">
        <f>HjArk!B6</f>
        <v>D+62KG</v>
      </c>
      <c r="J108" s="159">
        <f t="shared" si="3"/>
        <v>0</v>
      </c>
      <c r="K108" s="159" t="str">
        <f ca="1" t="shared" si="11"/>
        <v> - </v>
      </c>
      <c r="L108" s="159" t="str">
        <f ca="1" t="shared" si="12"/>
        <v> - </v>
      </c>
      <c r="M108" s="157">
        <f t="shared" si="4"/>
        <v>0</v>
      </c>
      <c r="N108" s="157">
        <f t="shared" si="5"/>
        <v>0</v>
      </c>
      <c r="O108" s="1">
        <v>3</v>
      </c>
      <c r="P108" s="154" t="str">
        <f>HjArk!B6</f>
        <v>D+62KG</v>
      </c>
      <c r="Q108" s="160">
        <f t="shared" si="6"/>
        <v>0</v>
      </c>
      <c r="R108" s="159" t="str">
        <f ca="1" t="shared" si="13"/>
        <v> - </v>
      </c>
      <c r="S108" s="159" t="str">
        <f ca="1" t="shared" si="14"/>
        <v> - </v>
      </c>
      <c r="T108" s="157">
        <f t="shared" si="7"/>
        <v>0</v>
      </c>
      <c r="U108" s="161">
        <f t="shared" si="8"/>
        <v>0</v>
      </c>
      <c r="X108" s="31">
        <v>4</v>
      </c>
      <c r="Y108" s="7" t="s">
        <v>39</v>
      </c>
      <c r="Z108" s="7" t="s">
        <v>38</v>
      </c>
      <c r="AA108" s="7"/>
      <c r="AB108" s="20"/>
    </row>
    <row r="109" spans="1:28" ht="12.75">
      <c r="A109" s="12">
        <v>4</v>
      </c>
      <c r="B109" s="154" t="str">
        <f>HjArk!B7</f>
        <v>JH+63KG</v>
      </c>
      <c r="C109" s="155">
        <f t="shared" si="0"/>
        <v>0</v>
      </c>
      <c r="D109" s="156" t="str">
        <f ca="1" t="shared" si="9"/>
        <v> - </v>
      </c>
      <c r="E109" s="156" t="str">
        <f ca="1" t="shared" si="10"/>
        <v> - </v>
      </c>
      <c r="F109" s="157">
        <f t="shared" si="1"/>
        <v>0</v>
      </c>
      <c r="G109" s="158">
        <f t="shared" si="2"/>
        <v>0</v>
      </c>
      <c r="H109" s="1">
        <v>4</v>
      </c>
      <c r="I109" s="154" t="str">
        <f>HjArk!B7</f>
        <v>JH+63KG</v>
      </c>
      <c r="J109" s="159">
        <f t="shared" si="3"/>
        <v>5</v>
      </c>
      <c r="K109" s="159">
        <f ca="1" t="shared" si="11"/>
        <v>7</v>
      </c>
      <c r="L109" s="159" t="str">
        <f ca="1" t="shared" si="12"/>
        <v>8 - 9</v>
      </c>
      <c r="M109" s="157">
        <f t="shared" si="4"/>
        <v>7</v>
      </c>
      <c r="N109" s="157">
        <f t="shared" si="5"/>
        <v>9</v>
      </c>
      <c r="O109" s="1">
        <v>4</v>
      </c>
      <c r="P109" s="154" t="str">
        <f>HjArk!B7</f>
        <v>JH+63KG</v>
      </c>
      <c r="Q109" s="160">
        <f t="shared" si="6"/>
        <v>0</v>
      </c>
      <c r="R109" s="159" t="str">
        <f ca="1" t="shared" si="13"/>
        <v> - </v>
      </c>
      <c r="S109" s="159" t="str">
        <f ca="1" t="shared" si="14"/>
        <v> - </v>
      </c>
      <c r="T109" s="157">
        <f t="shared" si="7"/>
        <v>0</v>
      </c>
      <c r="U109" s="161">
        <f t="shared" si="8"/>
        <v>0</v>
      </c>
      <c r="X109" s="31">
        <v>5</v>
      </c>
      <c r="Y109" s="7" t="s">
        <v>39</v>
      </c>
      <c r="Z109" s="7" t="s">
        <v>38</v>
      </c>
      <c r="AA109" s="7"/>
      <c r="AB109" s="20"/>
    </row>
    <row r="110" spans="1:28" ht="12.75">
      <c r="A110" s="12">
        <v>5</v>
      </c>
      <c r="B110" s="154" t="str">
        <f>HjArk!B8</f>
        <v>D-62KG</v>
      </c>
      <c r="C110" s="155">
        <f t="shared" si="0"/>
        <v>0</v>
      </c>
      <c r="D110" s="156" t="str">
        <f ca="1" t="shared" si="9"/>
        <v> - </v>
      </c>
      <c r="E110" s="156" t="str">
        <f ca="1" t="shared" si="10"/>
        <v> - </v>
      </c>
      <c r="F110" s="157">
        <f t="shared" si="1"/>
        <v>0</v>
      </c>
      <c r="G110" s="158">
        <f t="shared" si="2"/>
        <v>0</v>
      </c>
      <c r="H110" s="1">
        <v>5</v>
      </c>
      <c r="I110" s="154" t="str">
        <f>HjArk!B8</f>
        <v>D-62KG</v>
      </c>
      <c r="J110" s="159">
        <f t="shared" si="3"/>
        <v>4</v>
      </c>
      <c r="K110" s="159" t="str">
        <f ca="1" t="shared" si="11"/>
        <v> - </v>
      </c>
      <c r="L110" s="159" t="str">
        <f ca="1" t="shared" si="12"/>
        <v>10 - 11</v>
      </c>
      <c r="M110" s="157">
        <f t="shared" si="4"/>
        <v>0</v>
      </c>
      <c r="N110" s="157">
        <f t="shared" si="5"/>
        <v>11</v>
      </c>
      <c r="O110" s="1">
        <v>5</v>
      </c>
      <c r="P110" s="154" t="str">
        <f>HjArk!B8</f>
        <v>D-62KG</v>
      </c>
      <c r="Q110" s="160">
        <f t="shared" si="6"/>
        <v>0</v>
      </c>
      <c r="R110" s="159" t="str">
        <f ca="1" t="shared" si="13"/>
        <v> - </v>
      </c>
      <c r="S110" s="159" t="str">
        <f ca="1" t="shared" si="14"/>
        <v> - </v>
      </c>
      <c r="T110" s="157">
        <f t="shared" si="7"/>
        <v>0</v>
      </c>
      <c r="U110" s="161">
        <f t="shared" si="8"/>
        <v>0</v>
      </c>
      <c r="X110" s="31">
        <v>6</v>
      </c>
      <c r="Y110" s="7" t="s">
        <v>39</v>
      </c>
      <c r="Z110" s="7" t="s">
        <v>38</v>
      </c>
      <c r="AA110" s="7"/>
      <c r="AB110" s="20"/>
    </row>
    <row r="111" spans="1:28" ht="12.75">
      <c r="A111" s="12">
        <v>6</v>
      </c>
      <c r="B111" s="154" t="str">
        <f>HjArk!B9</f>
        <v>JD-57KG</v>
      </c>
      <c r="C111" s="155">
        <f t="shared" si="0"/>
        <v>4</v>
      </c>
      <c r="D111" s="156" t="str">
        <f ca="1" t="shared" si="9"/>
        <v> - </v>
      </c>
      <c r="E111" s="156" t="str">
        <f ca="1" t="shared" si="10"/>
        <v>11 - 12</v>
      </c>
      <c r="F111" s="157">
        <f t="shared" si="1"/>
        <v>0</v>
      </c>
      <c r="G111" s="158">
        <f t="shared" si="2"/>
        <v>12</v>
      </c>
      <c r="H111" s="1">
        <v>6</v>
      </c>
      <c r="I111" s="154" t="str">
        <f>HjArk!B9</f>
        <v>JD-57KG</v>
      </c>
      <c r="J111" s="159">
        <f t="shared" si="3"/>
        <v>0</v>
      </c>
      <c r="K111" s="159" t="str">
        <f ca="1" t="shared" si="11"/>
        <v> - </v>
      </c>
      <c r="L111" s="159" t="str">
        <f ca="1" t="shared" si="12"/>
        <v> - </v>
      </c>
      <c r="M111" s="157">
        <f t="shared" si="4"/>
        <v>0</v>
      </c>
      <c r="N111" s="157">
        <f t="shared" si="5"/>
        <v>0</v>
      </c>
      <c r="O111" s="1">
        <v>6</v>
      </c>
      <c r="P111" s="154" t="str">
        <f>HjArk!B9</f>
        <v>JD-57KG</v>
      </c>
      <c r="Q111" s="160">
        <f t="shared" si="6"/>
        <v>0</v>
      </c>
      <c r="R111" s="159" t="str">
        <f ca="1" t="shared" si="13"/>
        <v> - </v>
      </c>
      <c r="S111" s="159" t="str">
        <f ca="1" t="shared" si="14"/>
        <v> - </v>
      </c>
      <c r="T111" s="157">
        <f t="shared" si="7"/>
        <v>0</v>
      </c>
      <c r="U111" s="161">
        <f t="shared" si="8"/>
        <v>0</v>
      </c>
      <c r="X111" s="31">
        <v>7</v>
      </c>
      <c r="Y111" s="7" t="s">
        <v>38</v>
      </c>
      <c r="Z111" s="7" t="s">
        <v>31</v>
      </c>
      <c r="AA111" s="7" t="s">
        <v>33</v>
      </c>
      <c r="AB111" s="20"/>
    </row>
    <row r="112" spans="1:28" ht="12.75">
      <c r="A112" s="12">
        <v>7</v>
      </c>
      <c r="B112" s="154" t="str">
        <f>HjArk!B10</f>
        <v>H+85KG</v>
      </c>
      <c r="C112" s="155">
        <f t="shared" si="0"/>
        <v>0</v>
      </c>
      <c r="D112" s="156" t="str">
        <f ca="1" t="shared" si="9"/>
        <v> - </v>
      </c>
      <c r="E112" s="156" t="str">
        <f ca="1" t="shared" si="10"/>
        <v> - </v>
      </c>
      <c r="F112" s="157">
        <f t="shared" si="1"/>
        <v>0</v>
      </c>
      <c r="G112" s="158">
        <f t="shared" si="2"/>
        <v>0</v>
      </c>
      <c r="H112" s="1">
        <v>7</v>
      </c>
      <c r="I112" s="154" t="str">
        <f>HjArk!B10</f>
        <v>H+85KG</v>
      </c>
      <c r="J112" s="159">
        <f t="shared" si="3"/>
        <v>3</v>
      </c>
      <c r="K112" s="159" t="str">
        <f ca="1" t="shared" si="11"/>
        <v> - </v>
      </c>
      <c r="L112" s="159">
        <f ca="1" t="shared" si="12"/>
        <v>12</v>
      </c>
      <c r="M112" s="157">
        <f t="shared" si="4"/>
        <v>0</v>
      </c>
      <c r="N112" s="157">
        <f t="shared" si="5"/>
        <v>12</v>
      </c>
      <c r="O112" s="1">
        <v>7</v>
      </c>
      <c r="P112" s="154" t="str">
        <f>HjArk!B10</f>
        <v>H+85KG</v>
      </c>
      <c r="Q112" s="160">
        <f t="shared" si="6"/>
        <v>0</v>
      </c>
      <c r="R112" s="159" t="str">
        <f ca="1" t="shared" si="13"/>
        <v> - </v>
      </c>
      <c r="S112" s="159" t="str">
        <f ca="1" t="shared" si="14"/>
        <v> - </v>
      </c>
      <c r="T112" s="157">
        <f t="shared" si="7"/>
        <v>0</v>
      </c>
      <c r="U112" s="161">
        <f t="shared" si="8"/>
        <v>0</v>
      </c>
      <c r="X112" s="31">
        <v>8</v>
      </c>
      <c r="Y112" s="7" t="s">
        <v>31</v>
      </c>
      <c r="Z112" s="7" t="s">
        <v>32</v>
      </c>
      <c r="AA112" s="7"/>
      <c r="AB112" s="20"/>
    </row>
    <row r="113" spans="1:28" ht="12.75">
      <c r="A113" s="12">
        <v>8</v>
      </c>
      <c r="B113" s="154" t="str">
        <f>HjArk!B11</f>
        <v>JH-63KG</v>
      </c>
      <c r="C113" s="155">
        <f t="shared" si="0"/>
        <v>0</v>
      </c>
      <c r="D113" s="156" t="str">
        <f ca="1" t="shared" si="9"/>
        <v> - </v>
      </c>
      <c r="E113" s="156" t="str">
        <f ca="1" t="shared" si="10"/>
        <v> - </v>
      </c>
      <c r="F113" s="157">
        <f t="shared" si="1"/>
        <v>0</v>
      </c>
      <c r="G113" s="158">
        <f t="shared" si="2"/>
        <v>0</v>
      </c>
      <c r="H113" s="1">
        <v>8</v>
      </c>
      <c r="I113" s="154" t="str">
        <f>HjArk!B11</f>
        <v>JH-63KG</v>
      </c>
      <c r="J113" s="159">
        <f t="shared" si="3"/>
        <v>3</v>
      </c>
      <c r="K113" s="159" t="str">
        <f ca="1" t="shared" si="11"/>
        <v> - </v>
      </c>
      <c r="L113" s="159">
        <f ca="1" t="shared" si="12"/>
        <v>13</v>
      </c>
      <c r="M113" s="157">
        <f t="shared" si="4"/>
        <v>0</v>
      </c>
      <c r="N113" s="157">
        <f t="shared" si="5"/>
        <v>13</v>
      </c>
      <c r="O113" s="1">
        <v>8</v>
      </c>
      <c r="P113" s="154" t="str">
        <f>HjArk!B11</f>
        <v>JH-63KG</v>
      </c>
      <c r="Q113" s="160">
        <f t="shared" si="6"/>
        <v>0</v>
      </c>
      <c r="R113" s="159" t="str">
        <f ca="1" t="shared" si="13"/>
        <v> - </v>
      </c>
      <c r="S113" s="159" t="str">
        <f ca="1" t="shared" si="14"/>
        <v> - </v>
      </c>
      <c r="T113" s="157">
        <f t="shared" si="7"/>
        <v>0</v>
      </c>
      <c r="U113" s="161">
        <f t="shared" si="8"/>
        <v>0</v>
      </c>
      <c r="X113" s="31">
        <v>9</v>
      </c>
      <c r="Y113" s="7" t="s">
        <v>33</v>
      </c>
      <c r="Z113" s="7" t="s">
        <v>37</v>
      </c>
      <c r="AA113" s="7" t="s">
        <v>12</v>
      </c>
      <c r="AB113" s="20"/>
    </row>
    <row r="114" spans="1:28" ht="12.75">
      <c r="A114" s="12">
        <v>9</v>
      </c>
      <c r="B114" s="154" t="str">
        <f>HjArk!B12</f>
        <v>D-55KG</v>
      </c>
      <c r="C114" s="155">
        <f t="shared" si="0"/>
        <v>2</v>
      </c>
      <c r="D114" s="156" t="str">
        <f ca="1" t="shared" si="9"/>
        <v> - </v>
      </c>
      <c r="E114" s="156" t="str">
        <f ca="1" t="shared" si="10"/>
        <v> - </v>
      </c>
      <c r="F114" s="157">
        <f t="shared" si="1"/>
        <v>0</v>
      </c>
      <c r="G114" s="158">
        <f t="shared" si="2"/>
        <v>0</v>
      </c>
      <c r="H114" s="1">
        <v>9</v>
      </c>
      <c r="I114" s="154" t="str">
        <f>HjArk!B12</f>
        <v>D-55KG</v>
      </c>
      <c r="J114" s="159">
        <f t="shared" si="3"/>
        <v>0</v>
      </c>
      <c r="K114" s="159" t="str">
        <f ca="1" t="shared" si="11"/>
        <v> - </v>
      </c>
      <c r="L114" s="159" t="str">
        <f ca="1" t="shared" si="12"/>
        <v> - </v>
      </c>
      <c r="M114" s="157">
        <f t="shared" si="4"/>
        <v>0</v>
      </c>
      <c r="N114" s="157">
        <f t="shared" si="5"/>
        <v>0</v>
      </c>
      <c r="O114" s="1">
        <v>9</v>
      </c>
      <c r="P114" s="154" t="str">
        <f>HjArk!B12</f>
        <v>D-55KG</v>
      </c>
      <c r="Q114" s="160">
        <f t="shared" si="6"/>
        <v>0</v>
      </c>
      <c r="R114" s="159" t="str">
        <f ca="1" t="shared" si="13"/>
        <v> - </v>
      </c>
      <c r="S114" s="159" t="str">
        <f ca="1" t="shared" si="14"/>
        <v> - </v>
      </c>
      <c r="T114" s="157">
        <f t="shared" si="7"/>
        <v>0</v>
      </c>
      <c r="U114" s="161">
        <f t="shared" si="8"/>
        <v>0</v>
      </c>
      <c r="X114" s="31">
        <v>10</v>
      </c>
      <c r="Y114" s="7" t="s">
        <v>31</v>
      </c>
      <c r="Z114" s="7" t="s">
        <v>32</v>
      </c>
      <c r="AA114" s="7" t="s">
        <v>30</v>
      </c>
      <c r="AB114" s="20" t="s">
        <v>35</v>
      </c>
    </row>
    <row r="115" spans="1:28" ht="12.75">
      <c r="A115" s="12">
        <v>10</v>
      </c>
      <c r="B115" s="154" t="str">
        <f>HjArk!B13</f>
        <v>JH-57KG</v>
      </c>
      <c r="C115" s="155">
        <f t="shared" si="0"/>
        <v>2</v>
      </c>
      <c r="D115" s="156" t="str">
        <f ca="1" t="shared" si="9"/>
        <v> - </v>
      </c>
      <c r="E115" s="156" t="str">
        <f ca="1" t="shared" si="10"/>
        <v> - </v>
      </c>
      <c r="F115" s="157">
        <f t="shared" si="1"/>
        <v>0</v>
      </c>
      <c r="G115" s="158">
        <f t="shared" si="2"/>
        <v>0</v>
      </c>
      <c r="H115" s="1">
        <v>10</v>
      </c>
      <c r="I115" s="154" t="str">
        <f>HjArk!B13</f>
        <v>JH-57KG</v>
      </c>
      <c r="J115" s="159">
        <f t="shared" si="3"/>
        <v>0</v>
      </c>
      <c r="K115" s="159" t="str">
        <f ca="1" t="shared" si="11"/>
        <v> - </v>
      </c>
      <c r="L115" s="159" t="str">
        <f ca="1" t="shared" si="12"/>
        <v> - </v>
      </c>
      <c r="M115" s="157">
        <f t="shared" si="4"/>
        <v>0</v>
      </c>
      <c r="N115" s="157">
        <f t="shared" si="5"/>
        <v>0</v>
      </c>
      <c r="O115" s="1">
        <v>10</v>
      </c>
      <c r="P115" s="154" t="str">
        <f>HjArk!B13</f>
        <v>JH-57KG</v>
      </c>
      <c r="Q115" s="160">
        <f t="shared" si="6"/>
        <v>0</v>
      </c>
      <c r="R115" s="159" t="str">
        <f ca="1" t="shared" si="13"/>
        <v> - </v>
      </c>
      <c r="S115" s="159" t="str">
        <f ca="1" t="shared" si="14"/>
        <v> - </v>
      </c>
      <c r="T115" s="157">
        <f t="shared" si="7"/>
        <v>0</v>
      </c>
      <c r="U115" s="161">
        <f t="shared" si="8"/>
        <v>0</v>
      </c>
      <c r="X115" s="31">
        <v>11</v>
      </c>
      <c r="Y115" s="7" t="s">
        <v>32</v>
      </c>
      <c r="Z115" s="7" t="s">
        <v>31</v>
      </c>
      <c r="AA115" s="7" t="s">
        <v>33</v>
      </c>
      <c r="AB115" s="20" t="s">
        <v>35</v>
      </c>
    </row>
    <row r="116" spans="1:28" ht="12.75">
      <c r="A116" s="12">
        <v>11</v>
      </c>
      <c r="B116" s="162">
        <f>HjArk!B14</f>
        <v>0</v>
      </c>
      <c r="C116" s="155" t="str">
        <f t="shared" si="0"/>
        <v> - </v>
      </c>
      <c r="D116" s="156" t="str">
        <f ca="1" t="shared" si="9"/>
        <v> - </v>
      </c>
      <c r="E116" s="156" t="str">
        <f ca="1" t="shared" si="10"/>
        <v> - </v>
      </c>
      <c r="F116" s="157">
        <f t="shared" si="1"/>
        <v>0</v>
      </c>
      <c r="G116" s="158">
        <f t="shared" si="2"/>
        <v>0</v>
      </c>
      <c r="H116" s="1">
        <v>11</v>
      </c>
      <c r="I116" s="162">
        <f>HjArk!B14</f>
        <v>0</v>
      </c>
      <c r="J116" s="159" t="str">
        <f t="shared" si="3"/>
        <v> - </v>
      </c>
      <c r="K116" s="159" t="str">
        <f ca="1" t="shared" si="11"/>
        <v> - </v>
      </c>
      <c r="L116" s="159" t="str">
        <f ca="1" t="shared" si="12"/>
        <v> - </v>
      </c>
      <c r="M116" s="157">
        <f t="shared" si="4"/>
        <v>0</v>
      </c>
      <c r="N116" s="157">
        <f t="shared" si="5"/>
        <v>0</v>
      </c>
      <c r="O116" s="1">
        <v>11</v>
      </c>
      <c r="P116" s="162">
        <f>HjArk!B14</f>
        <v>0</v>
      </c>
      <c r="Q116" s="160" t="str">
        <f t="shared" si="6"/>
        <v> - </v>
      </c>
      <c r="R116" s="159" t="str">
        <f ca="1" t="shared" si="13"/>
        <v> - </v>
      </c>
      <c r="S116" s="159" t="str">
        <f ca="1" t="shared" si="14"/>
        <v> - </v>
      </c>
      <c r="T116" s="157">
        <f t="shared" si="7"/>
        <v>0</v>
      </c>
      <c r="U116" s="161">
        <f t="shared" si="8"/>
        <v>0</v>
      </c>
      <c r="X116" s="31">
        <v>12</v>
      </c>
      <c r="Y116" s="7" t="s">
        <v>31</v>
      </c>
      <c r="Z116" s="7" t="s">
        <v>32</v>
      </c>
      <c r="AA116" s="7" t="s">
        <v>33</v>
      </c>
      <c r="AB116" s="20" t="s">
        <v>35</v>
      </c>
    </row>
    <row r="117" spans="1:28" ht="12.75">
      <c r="A117" s="12">
        <v>12</v>
      </c>
      <c r="B117" s="162">
        <f>HjArk!B15</f>
        <v>0</v>
      </c>
      <c r="C117" s="155" t="str">
        <f t="shared" si="0"/>
        <v> - </v>
      </c>
      <c r="D117" s="156" t="str">
        <f ca="1" t="shared" si="9"/>
        <v> - </v>
      </c>
      <c r="E117" s="156" t="str">
        <f ca="1" t="shared" si="10"/>
        <v> - </v>
      </c>
      <c r="F117" s="157">
        <f t="shared" si="1"/>
        <v>0</v>
      </c>
      <c r="G117" s="158">
        <f t="shared" si="2"/>
        <v>0</v>
      </c>
      <c r="H117" s="1">
        <v>12</v>
      </c>
      <c r="I117" s="162">
        <f>HjArk!B15</f>
        <v>0</v>
      </c>
      <c r="J117" s="159" t="str">
        <f t="shared" si="3"/>
        <v> - </v>
      </c>
      <c r="K117" s="159" t="str">
        <f ca="1" t="shared" si="11"/>
        <v> - </v>
      </c>
      <c r="L117" s="159" t="str">
        <f ca="1" t="shared" si="12"/>
        <v> - </v>
      </c>
      <c r="M117" s="157">
        <f t="shared" si="4"/>
        <v>0</v>
      </c>
      <c r="N117" s="157">
        <f t="shared" si="5"/>
        <v>0</v>
      </c>
      <c r="O117" s="1">
        <v>12</v>
      </c>
      <c r="P117" s="162">
        <f>HjArk!B15</f>
        <v>0</v>
      </c>
      <c r="Q117" s="160" t="str">
        <f t="shared" si="6"/>
        <v> - </v>
      </c>
      <c r="R117" s="159" t="str">
        <f ca="1" t="shared" si="13"/>
        <v> - </v>
      </c>
      <c r="S117" s="159" t="str">
        <f ca="1" t="shared" si="14"/>
        <v> - </v>
      </c>
      <c r="T117" s="157">
        <f t="shared" si="7"/>
        <v>0</v>
      </c>
      <c r="U117" s="161">
        <f t="shared" si="8"/>
        <v>0</v>
      </c>
      <c r="X117" s="31">
        <v>13</v>
      </c>
      <c r="Y117" s="7" t="s">
        <v>31</v>
      </c>
      <c r="Z117" s="7" t="s">
        <v>32</v>
      </c>
      <c r="AA117" s="7" t="s">
        <v>33</v>
      </c>
      <c r="AB117" s="20" t="s">
        <v>18</v>
      </c>
    </row>
    <row r="118" spans="1:28" ht="12.75">
      <c r="A118" s="12">
        <v>13</v>
      </c>
      <c r="B118" s="162">
        <f>HjArk!B16</f>
        <v>0</v>
      </c>
      <c r="C118" s="155" t="str">
        <f t="shared" si="0"/>
        <v> - </v>
      </c>
      <c r="D118" s="156" t="str">
        <f ca="1" t="shared" si="9"/>
        <v> - </v>
      </c>
      <c r="E118" s="156" t="str">
        <f ca="1" t="shared" si="10"/>
        <v> - </v>
      </c>
      <c r="F118" s="157">
        <f t="shared" si="1"/>
        <v>0</v>
      </c>
      <c r="G118" s="158">
        <f t="shared" si="2"/>
        <v>0</v>
      </c>
      <c r="H118" s="1">
        <v>13</v>
      </c>
      <c r="I118" s="162">
        <f>HjArk!B16</f>
        <v>0</v>
      </c>
      <c r="J118" s="159" t="str">
        <f t="shared" si="3"/>
        <v> - </v>
      </c>
      <c r="K118" s="159" t="str">
        <f ca="1" t="shared" si="11"/>
        <v> - </v>
      </c>
      <c r="L118" s="159" t="str">
        <f ca="1" t="shared" si="12"/>
        <v> - </v>
      </c>
      <c r="M118" s="157">
        <f t="shared" si="4"/>
        <v>0</v>
      </c>
      <c r="N118" s="157">
        <f t="shared" si="5"/>
        <v>0</v>
      </c>
      <c r="O118" s="1">
        <v>13</v>
      </c>
      <c r="P118" s="162">
        <f>HjArk!B16</f>
        <v>0</v>
      </c>
      <c r="Q118" s="160" t="str">
        <f t="shared" si="6"/>
        <v> - </v>
      </c>
      <c r="R118" s="159" t="str">
        <f ca="1" t="shared" si="13"/>
        <v> - </v>
      </c>
      <c r="S118" s="159" t="str">
        <f ca="1" t="shared" si="14"/>
        <v> - </v>
      </c>
      <c r="T118" s="157">
        <f t="shared" si="7"/>
        <v>0</v>
      </c>
      <c r="U118" s="161">
        <f t="shared" si="8"/>
        <v>0</v>
      </c>
      <c r="X118" s="31">
        <v>14</v>
      </c>
      <c r="Y118" s="7" t="s">
        <v>31</v>
      </c>
      <c r="Z118" s="7" t="s">
        <v>32</v>
      </c>
      <c r="AA118" s="7" t="s">
        <v>103</v>
      </c>
      <c r="AB118" s="20" t="s">
        <v>24</v>
      </c>
    </row>
    <row r="119" spans="1:28" ht="12.75">
      <c r="A119" s="12">
        <v>14</v>
      </c>
      <c r="B119" s="162">
        <f>HjArk!B17</f>
        <v>0</v>
      </c>
      <c r="C119" s="155" t="str">
        <f t="shared" si="0"/>
        <v> - </v>
      </c>
      <c r="D119" s="156" t="str">
        <f ca="1" t="shared" si="9"/>
        <v> - </v>
      </c>
      <c r="E119" s="156" t="str">
        <f ca="1" t="shared" si="10"/>
        <v> - </v>
      </c>
      <c r="F119" s="157">
        <f t="shared" si="1"/>
        <v>0</v>
      </c>
      <c r="G119" s="158">
        <f t="shared" si="2"/>
        <v>0</v>
      </c>
      <c r="H119" s="1">
        <v>14</v>
      </c>
      <c r="I119" s="162">
        <f>HjArk!B17</f>
        <v>0</v>
      </c>
      <c r="J119" s="159" t="str">
        <f t="shared" si="3"/>
        <v> - </v>
      </c>
      <c r="K119" s="159" t="str">
        <f ca="1" t="shared" si="11"/>
        <v> - </v>
      </c>
      <c r="L119" s="159" t="str">
        <f ca="1" t="shared" si="12"/>
        <v> - </v>
      </c>
      <c r="M119" s="157">
        <f t="shared" si="4"/>
        <v>0</v>
      </c>
      <c r="N119" s="157">
        <f t="shared" si="5"/>
        <v>0</v>
      </c>
      <c r="O119" s="1">
        <v>14</v>
      </c>
      <c r="P119" s="162">
        <f>HjArk!B17</f>
        <v>0</v>
      </c>
      <c r="Q119" s="160" t="str">
        <f t="shared" si="6"/>
        <v> - </v>
      </c>
      <c r="R119" s="159" t="str">
        <f ca="1" t="shared" si="13"/>
        <v> - </v>
      </c>
      <c r="S119" s="159" t="str">
        <f ca="1" t="shared" si="14"/>
        <v> - </v>
      </c>
      <c r="T119" s="157">
        <f t="shared" si="7"/>
        <v>0</v>
      </c>
      <c r="U119" s="161">
        <f t="shared" si="8"/>
        <v>0</v>
      </c>
      <c r="X119" s="31">
        <v>15</v>
      </c>
      <c r="Y119" s="7" t="s">
        <v>30</v>
      </c>
      <c r="Z119" s="7" t="s">
        <v>18</v>
      </c>
      <c r="AA119" s="7" t="s">
        <v>12</v>
      </c>
      <c r="AB119" s="20" t="s">
        <v>24</v>
      </c>
    </row>
    <row r="120" spans="1:28" ht="12.75">
      <c r="A120" s="12">
        <v>15</v>
      </c>
      <c r="B120" s="162">
        <f>HjArk!B18</f>
        <v>0</v>
      </c>
      <c r="C120" s="155" t="str">
        <f t="shared" si="0"/>
        <v> - </v>
      </c>
      <c r="D120" s="156" t="str">
        <f ca="1" t="shared" si="9"/>
        <v> - </v>
      </c>
      <c r="E120" s="156" t="str">
        <f ca="1" t="shared" si="10"/>
        <v> - </v>
      </c>
      <c r="F120" s="157">
        <f t="shared" si="1"/>
        <v>0</v>
      </c>
      <c r="G120" s="158">
        <f t="shared" si="2"/>
        <v>0</v>
      </c>
      <c r="H120" s="1">
        <v>15</v>
      </c>
      <c r="I120" s="162">
        <f>HjArk!B18</f>
        <v>0</v>
      </c>
      <c r="J120" s="159" t="str">
        <f t="shared" si="3"/>
        <v> - </v>
      </c>
      <c r="K120" s="159" t="str">
        <f ca="1" t="shared" si="11"/>
        <v> - </v>
      </c>
      <c r="L120" s="159" t="str">
        <f ca="1" t="shared" si="12"/>
        <v> - </v>
      </c>
      <c r="M120" s="157">
        <f t="shared" si="4"/>
        <v>0</v>
      </c>
      <c r="N120" s="157">
        <f t="shared" si="5"/>
        <v>0</v>
      </c>
      <c r="O120" s="1">
        <v>15</v>
      </c>
      <c r="P120" s="162">
        <f>HjArk!B18</f>
        <v>0</v>
      </c>
      <c r="Q120" s="160" t="str">
        <f t="shared" si="6"/>
        <v> - </v>
      </c>
      <c r="R120" s="159" t="str">
        <f ca="1" t="shared" si="13"/>
        <v> - </v>
      </c>
      <c r="S120" s="159" t="str">
        <f ca="1" t="shared" si="14"/>
        <v> - </v>
      </c>
      <c r="T120" s="157">
        <f t="shared" si="7"/>
        <v>0</v>
      </c>
      <c r="U120" s="161">
        <f t="shared" si="8"/>
        <v>0</v>
      </c>
      <c r="X120" s="31">
        <v>16</v>
      </c>
      <c r="Y120" s="7" t="s">
        <v>12</v>
      </c>
      <c r="Z120" s="7" t="s">
        <v>18</v>
      </c>
      <c r="AA120" s="7" t="s">
        <v>17</v>
      </c>
      <c r="AB120" s="20" t="s">
        <v>24</v>
      </c>
    </row>
    <row r="121" spans="1:28" ht="12.75">
      <c r="A121" s="12">
        <v>16</v>
      </c>
      <c r="B121" s="162">
        <f>HjArk!B19</f>
        <v>0</v>
      </c>
      <c r="C121" s="155" t="str">
        <f t="shared" si="0"/>
        <v> - </v>
      </c>
      <c r="D121" s="156" t="str">
        <f ca="1" t="shared" si="9"/>
        <v> - </v>
      </c>
      <c r="E121" s="156" t="str">
        <f ca="1" t="shared" si="10"/>
        <v> - </v>
      </c>
      <c r="F121" s="157">
        <f t="shared" si="1"/>
        <v>0</v>
      </c>
      <c r="G121" s="158">
        <f t="shared" si="2"/>
        <v>0</v>
      </c>
      <c r="H121" s="1">
        <v>16</v>
      </c>
      <c r="I121" s="162">
        <f>HjArk!B19</f>
        <v>0</v>
      </c>
      <c r="J121" s="159" t="str">
        <f t="shared" si="3"/>
        <v> - </v>
      </c>
      <c r="K121" s="159" t="str">
        <f ca="1" t="shared" si="11"/>
        <v> - </v>
      </c>
      <c r="L121" s="159" t="str">
        <f ca="1" t="shared" si="12"/>
        <v> - </v>
      </c>
      <c r="M121" s="157">
        <f t="shared" si="4"/>
        <v>0</v>
      </c>
      <c r="N121" s="157">
        <f t="shared" si="5"/>
        <v>0</v>
      </c>
      <c r="O121" s="1">
        <v>16</v>
      </c>
      <c r="P121" s="162">
        <f>HjArk!B19</f>
        <v>0</v>
      </c>
      <c r="Q121" s="160" t="str">
        <f t="shared" si="6"/>
        <v> - </v>
      </c>
      <c r="R121" s="159" t="str">
        <f ca="1" t="shared" si="13"/>
        <v> - </v>
      </c>
      <c r="S121" s="159" t="str">
        <f ca="1" t="shared" si="14"/>
        <v> - </v>
      </c>
      <c r="T121" s="157">
        <f t="shared" si="7"/>
        <v>0</v>
      </c>
      <c r="U121" s="161">
        <f t="shared" si="8"/>
        <v>0</v>
      </c>
      <c r="X121" s="31">
        <v>17</v>
      </c>
      <c r="Y121" s="7" t="s">
        <v>12</v>
      </c>
      <c r="Z121" s="7" t="s">
        <v>18</v>
      </c>
      <c r="AA121" s="7" t="s">
        <v>17</v>
      </c>
      <c r="AB121" s="20" t="s">
        <v>24</v>
      </c>
    </row>
    <row r="122" spans="1:28" ht="12.75">
      <c r="A122" s="12">
        <v>17</v>
      </c>
      <c r="B122" s="162">
        <f>HjArk!B20</f>
        <v>0</v>
      </c>
      <c r="C122" s="155" t="str">
        <f t="shared" si="0"/>
        <v> - </v>
      </c>
      <c r="D122" s="156" t="str">
        <f ca="1" t="shared" si="9"/>
        <v> - </v>
      </c>
      <c r="E122" s="156" t="str">
        <f ca="1" t="shared" si="10"/>
        <v> - </v>
      </c>
      <c r="F122" s="157">
        <f t="shared" si="1"/>
        <v>0</v>
      </c>
      <c r="G122" s="158">
        <f t="shared" si="2"/>
        <v>0</v>
      </c>
      <c r="H122" s="1">
        <v>17</v>
      </c>
      <c r="I122" s="162">
        <f>HjArk!B20</f>
        <v>0</v>
      </c>
      <c r="J122" s="159" t="str">
        <f t="shared" si="3"/>
        <v> - </v>
      </c>
      <c r="K122" s="159" t="str">
        <f ca="1" t="shared" si="11"/>
        <v> - </v>
      </c>
      <c r="L122" s="159" t="str">
        <f ca="1" t="shared" si="12"/>
        <v> - </v>
      </c>
      <c r="M122" s="157">
        <f t="shared" si="4"/>
        <v>0</v>
      </c>
      <c r="N122" s="157">
        <f t="shared" si="5"/>
        <v>0</v>
      </c>
      <c r="O122" s="1">
        <v>17</v>
      </c>
      <c r="P122" s="162">
        <f>HjArk!B20</f>
        <v>0</v>
      </c>
      <c r="Q122" s="160" t="str">
        <f t="shared" si="6"/>
        <v> - </v>
      </c>
      <c r="R122" s="159" t="str">
        <f ca="1" t="shared" si="13"/>
        <v> - </v>
      </c>
      <c r="S122" s="159" t="str">
        <f ca="1" t="shared" si="14"/>
        <v> - </v>
      </c>
      <c r="T122" s="157">
        <f t="shared" si="7"/>
        <v>0</v>
      </c>
      <c r="U122" s="161">
        <f t="shared" si="8"/>
        <v>0</v>
      </c>
      <c r="X122" s="31">
        <v>18</v>
      </c>
      <c r="Y122" s="7" t="s">
        <v>12</v>
      </c>
      <c r="Z122" s="7" t="s">
        <v>18</v>
      </c>
      <c r="AA122" s="7" t="s">
        <v>17</v>
      </c>
      <c r="AB122" s="20" t="s">
        <v>24</v>
      </c>
    </row>
    <row r="123" spans="1:28" ht="12.75">
      <c r="A123" s="12">
        <v>18</v>
      </c>
      <c r="B123" s="162">
        <f>HjArk!B21</f>
        <v>0</v>
      </c>
      <c r="C123" s="155" t="str">
        <f t="shared" si="0"/>
        <v> - </v>
      </c>
      <c r="D123" s="156" t="str">
        <f ca="1" t="shared" si="9"/>
        <v> - </v>
      </c>
      <c r="E123" s="156" t="str">
        <f ca="1" t="shared" si="10"/>
        <v> - </v>
      </c>
      <c r="F123" s="157">
        <f t="shared" si="1"/>
        <v>0</v>
      </c>
      <c r="G123" s="158">
        <f t="shared" si="2"/>
        <v>0</v>
      </c>
      <c r="H123" s="1">
        <v>18</v>
      </c>
      <c r="I123" s="162">
        <f>HjArk!B21</f>
        <v>0</v>
      </c>
      <c r="J123" s="159" t="str">
        <f t="shared" si="3"/>
        <v> - </v>
      </c>
      <c r="K123" s="159" t="str">
        <f ca="1" t="shared" si="11"/>
        <v> - </v>
      </c>
      <c r="L123" s="159" t="str">
        <f ca="1" t="shared" si="12"/>
        <v> - </v>
      </c>
      <c r="M123" s="157">
        <f t="shared" si="4"/>
        <v>0</v>
      </c>
      <c r="N123" s="157">
        <f t="shared" si="5"/>
        <v>0</v>
      </c>
      <c r="O123" s="1">
        <v>18</v>
      </c>
      <c r="P123" s="162">
        <f>HjArk!B21</f>
        <v>0</v>
      </c>
      <c r="Q123" s="160" t="str">
        <f t="shared" si="6"/>
        <v> - </v>
      </c>
      <c r="R123" s="159" t="str">
        <f ca="1" t="shared" si="13"/>
        <v> - </v>
      </c>
      <c r="S123" s="159" t="str">
        <f ca="1" t="shared" si="14"/>
        <v> - </v>
      </c>
      <c r="T123" s="157">
        <f t="shared" si="7"/>
        <v>0</v>
      </c>
      <c r="U123" s="161">
        <f t="shared" si="8"/>
        <v>0</v>
      </c>
      <c r="X123" s="31">
        <v>19</v>
      </c>
      <c r="Y123" s="7" t="s">
        <v>12</v>
      </c>
      <c r="Z123" s="7" t="s">
        <v>18</v>
      </c>
      <c r="AA123" s="7" t="s">
        <v>17</v>
      </c>
      <c r="AB123" s="20" t="s">
        <v>24</v>
      </c>
    </row>
    <row r="124" spans="1:28" ht="12.75">
      <c r="A124" s="12">
        <v>19</v>
      </c>
      <c r="B124" s="162">
        <f>HjArk!B22</f>
        <v>0</v>
      </c>
      <c r="C124" s="155" t="str">
        <f t="shared" si="0"/>
        <v> - </v>
      </c>
      <c r="D124" s="156" t="str">
        <f ca="1" t="shared" si="9"/>
        <v> - </v>
      </c>
      <c r="E124" s="156" t="str">
        <f ca="1" t="shared" si="10"/>
        <v> - </v>
      </c>
      <c r="F124" s="157">
        <f t="shared" si="1"/>
        <v>0</v>
      </c>
      <c r="G124" s="158">
        <f t="shared" si="2"/>
        <v>0</v>
      </c>
      <c r="H124" s="1">
        <v>19</v>
      </c>
      <c r="I124" s="162">
        <f>HjArk!B22</f>
        <v>0</v>
      </c>
      <c r="J124" s="159" t="str">
        <f t="shared" si="3"/>
        <v> - </v>
      </c>
      <c r="K124" s="159" t="str">
        <f ca="1" t="shared" si="11"/>
        <v> - </v>
      </c>
      <c r="L124" s="159" t="str">
        <f ca="1" t="shared" si="12"/>
        <v> - </v>
      </c>
      <c r="M124" s="157">
        <f t="shared" si="4"/>
        <v>0</v>
      </c>
      <c r="N124" s="157">
        <f t="shared" si="5"/>
        <v>0</v>
      </c>
      <c r="O124" s="1">
        <v>19</v>
      </c>
      <c r="P124" s="162">
        <f>HjArk!B22</f>
        <v>0</v>
      </c>
      <c r="Q124" s="160" t="str">
        <f t="shared" si="6"/>
        <v> - </v>
      </c>
      <c r="R124" s="159" t="str">
        <f ca="1" t="shared" si="13"/>
        <v> - </v>
      </c>
      <c r="S124" s="159" t="str">
        <f ca="1" t="shared" si="14"/>
        <v> - </v>
      </c>
      <c r="T124" s="157">
        <f t="shared" si="7"/>
        <v>0</v>
      </c>
      <c r="U124" s="161">
        <f t="shared" si="8"/>
        <v>0</v>
      </c>
      <c r="X124" s="31">
        <v>20</v>
      </c>
      <c r="Y124" s="7" t="s">
        <v>12</v>
      </c>
      <c r="Z124" s="7" t="s">
        <v>18</v>
      </c>
      <c r="AA124" s="7" t="s">
        <v>17</v>
      </c>
      <c r="AB124" s="20" t="s">
        <v>24</v>
      </c>
    </row>
    <row r="125" spans="1:28" ht="12.75">
      <c r="A125" s="12">
        <v>20</v>
      </c>
      <c r="B125" s="162">
        <f>HjArk!B23</f>
        <v>0</v>
      </c>
      <c r="C125" s="155" t="str">
        <f t="shared" si="0"/>
        <v> - </v>
      </c>
      <c r="D125" s="156" t="str">
        <f ca="1" t="shared" si="9"/>
        <v> - </v>
      </c>
      <c r="E125" s="156" t="str">
        <f ca="1" t="shared" si="10"/>
        <v> - </v>
      </c>
      <c r="F125" s="157">
        <f t="shared" si="1"/>
        <v>0</v>
      </c>
      <c r="G125" s="158">
        <f t="shared" si="2"/>
        <v>0</v>
      </c>
      <c r="H125" s="1">
        <v>20</v>
      </c>
      <c r="I125" s="162">
        <f>HjArk!B23</f>
        <v>0</v>
      </c>
      <c r="J125" s="159" t="str">
        <f t="shared" si="3"/>
        <v> - </v>
      </c>
      <c r="K125" s="159" t="str">
        <f ca="1" t="shared" si="11"/>
        <v> - </v>
      </c>
      <c r="L125" s="159" t="str">
        <f ca="1" t="shared" si="12"/>
        <v> - </v>
      </c>
      <c r="M125" s="157">
        <f t="shared" si="4"/>
        <v>0</v>
      </c>
      <c r="N125" s="157">
        <f t="shared" si="5"/>
        <v>0</v>
      </c>
      <c r="O125" s="1">
        <v>20</v>
      </c>
      <c r="P125" s="162">
        <f>HjArk!B23</f>
        <v>0</v>
      </c>
      <c r="Q125" s="160" t="str">
        <f t="shared" si="6"/>
        <v> - </v>
      </c>
      <c r="R125" s="159" t="str">
        <f ca="1" t="shared" si="13"/>
        <v> - </v>
      </c>
      <c r="S125" s="159" t="str">
        <f ca="1" t="shared" si="14"/>
        <v> - </v>
      </c>
      <c r="T125" s="157">
        <f t="shared" si="7"/>
        <v>0</v>
      </c>
      <c r="U125" s="161">
        <f t="shared" si="8"/>
        <v>0</v>
      </c>
      <c r="X125" s="31">
        <v>21</v>
      </c>
      <c r="Y125" s="7" t="s">
        <v>12</v>
      </c>
      <c r="Z125" s="7" t="s">
        <v>18</v>
      </c>
      <c r="AA125" s="7" t="s">
        <v>17</v>
      </c>
      <c r="AB125" s="20" t="s">
        <v>24</v>
      </c>
    </row>
    <row r="126" spans="1:28" ht="12.75">
      <c r="A126" s="12">
        <v>21</v>
      </c>
      <c r="B126" s="162">
        <f>HjArk!B24</f>
        <v>0</v>
      </c>
      <c r="C126" s="155" t="str">
        <f t="shared" si="0"/>
        <v> - </v>
      </c>
      <c r="D126" s="156" t="str">
        <f ca="1" t="shared" si="9"/>
        <v> - </v>
      </c>
      <c r="E126" s="156" t="str">
        <f ca="1" t="shared" si="10"/>
        <v> - </v>
      </c>
      <c r="F126" s="157">
        <f t="shared" si="1"/>
        <v>0</v>
      </c>
      <c r="G126" s="158">
        <f t="shared" si="2"/>
        <v>0</v>
      </c>
      <c r="H126" s="1">
        <v>21</v>
      </c>
      <c r="I126" s="162">
        <f>HjArk!B24</f>
        <v>0</v>
      </c>
      <c r="J126" s="159" t="str">
        <f t="shared" si="3"/>
        <v> - </v>
      </c>
      <c r="K126" s="159" t="str">
        <f ca="1" t="shared" si="11"/>
        <v> - </v>
      </c>
      <c r="L126" s="159" t="str">
        <f ca="1" t="shared" si="12"/>
        <v> - </v>
      </c>
      <c r="M126" s="157">
        <f t="shared" si="4"/>
        <v>0</v>
      </c>
      <c r="N126" s="157">
        <f t="shared" si="5"/>
        <v>0</v>
      </c>
      <c r="O126" s="1">
        <v>21</v>
      </c>
      <c r="P126" s="162">
        <f>HjArk!B24</f>
        <v>0</v>
      </c>
      <c r="Q126" s="160" t="str">
        <f t="shared" si="6"/>
        <v> - </v>
      </c>
      <c r="R126" s="159" t="str">
        <f ca="1" t="shared" si="13"/>
        <v> - </v>
      </c>
      <c r="S126" s="159" t="str">
        <f ca="1" t="shared" si="14"/>
        <v> - </v>
      </c>
      <c r="T126" s="157">
        <f t="shared" si="7"/>
        <v>0</v>
      </c>
      <c r="U126" s="161">
        <f t="shared" si="8"/>
        <v>0</v>
      </c>
      <c r="X126" s="31">
        <v>22</v>
      </c>
      <c r="Y126" s="7" t="s">
        <v>12</v>
      </c>
      <c r="Z126" s="7" t="s">
        <v>18</v>
      </c>
      <c r="AA126" s="7" t="s">
        <v>17</v>
      </c>
      <c r="AB126" s="20" t="s">
        <v>24</v>
      </c>
    </row>
    <row r="127" spans="1:28" ht="12.75">
      <c r="A127" s="12">
        <v>22</v>
      </c>
      <c r="B127" s="162">
        <f>HjArk!B25</f>
        <v>0</v>
      </c>
      <c r="C127" s="155" t="str">
        <f t="shared" si="0"/>
        <v> - </v>
      </c>
      <c r="D127" s="156" t="str">
        <f ca="1" t="shared" si="9"/>
        <v> - </v>
      </c>
      <c r="E127" s="156" t="str">
        <f ca="1" t="shared" si="10"/>
        <v> - </v>
      </c>
      <c r="F127" s="157">
        <f t="shared" si="1"/>
        <v>0</v>
      </c>
      <c r="G127" s="158">
        <f t="shared" si="2"/>
        <v>0</v>
      </c>
      <c r="H127" s="1">
        <v>22</v>
      </c>
      <c r="I127" s="162">
        <f>HjArk!B25</f>
        <v>0</v>
      </c>
      <c r="J127" s="159" t="str">
        <f t="shared" si="3"/>
        <v> - </v>
      </c>
      <c r="K127" s="159" t="str">
        <f ca="1" t="shared" si="11"/>
        <v> - </v>
      </c>
      <c r="L127" s="159" t="str">
        <f ca="1" t="shared" si="12"/>
        <v> - </v>
      </c>
      <c r="M127" s="157">
        <f t="shared" si="4"/>
        <v>0</v>
      </c>
      <c r="N127" s="157">
        <f t="shared" si="5"/>
        <v>0</v>
      </c>
      <c r="O127" s="1">
        <v>22</v>
      </c>
      <c r="P127" s="162">
        <f>HjArk!B25</f>
        <v>0</v>
      </c>
      <c r="Q127" s="160" t="str">
        <f t="shared" si="6"/>
        <v> - </v>
      </c>
      <c r="R127" s="159" t="str">
        <f ca="1" t="shared" si="13"/>
        <v> - </v>
      </c>
      <c r="S127" s="159" t="str">
        <f ca="1" t="shared" si="14"/>
        <v> - </v>
      </c>
      <c r="T127" s="157">
        <f t="shared" si="7"/>
        <v>0</v>
      </c>
      <c r="U127" s="161">
        <f t="shared" si="8"/>
        <v>0</v>
      </c>
      <c r="X127" s="31">
        <v>23</v>
      </c>
      <c r="Y127" s="7" t="s">
        <v>12</v>
      </c>
      <c r="Z127" s="7" t="s">
        <v>18</v>
      </c>
      <c r="AA127" s="7" t="s">
        <v>17</v>
      </c>
      <c r="AB127" s="20" t="s">
        <v>24</v>
      </c>
    </row>
    <row r="128" spans="1:28" ht="12.75">
      <c r="A128" s="12">
        <v>23</v>
      </c>
      <c r="B128" s="162">
        <f>HjArk!B26</f>
        <v>0</v>
      </c>
      <c r="C128" s="155" t="str">
        <f t="shared" si="0"/>
        <v> - </v>
      </c>
      <c r="D128" s="156" t="str">
        <f ca="1" t="shared" si="9"/>
        <v> - </v>
      </c>
      <c r="E128" s="156" t="str">
        <f ca="1" t="shared" si="10"/>
        <v> - </v>
      </c>
      <c r="F128" s="157">
        <f t="shared" si="1"/>
        <v>0</v>
      </c>
      <c r="G128" s="158">
        <f t="shared" si="2"/>
        <v>0</v>
      </c>
      <c r="H128" s="1">
        <v>23</v>
      </c>
      <c r="I128" s="162">
        <f>HjArk!B26</f>
        <v>0</v>
      </c>
      <c r="J128" s="159" t="str">
        <f t="shared" si="3"/>
        <v> - </v>
      </c>
      <c r="K128" s="159" t="str">
        <f ca="1" t="shared" si="11"/>
        <v> - </v>
      </c>
      <c r="L128" s="159" t="str">
        <f ca="1" t="shared" si="12"/>
        <v> - </v>
      </c>
      <c r="M128" s="157">
        <f t="shared" si="4"/>
        <v>0</v>
      </c>
      <c r="N128" s="157">
        <f t="shared" si="5"/>
        <v>0</v>
      </c>
      <c r="O128" s="1">
        <v>23</v>
      </c>
      <c r="P128" s="162">
        <f>HjArk!B26</f>
        <v>0</v>
      </c>
      <c r="Q128" s="160" t="str">
        <f t="shared" si="6"/>
        <v> - </v>
      </c>
      <c r="R128" s="159" t="str">
        <f ca="1" t="shared" si="13"/>
        <v> - </v>
      </c>
      <c r="S128" s="159" t="str">
        <f ca="1" t="shared" si="14"/>
        <v> - </v>
      </c>
      <c r="T128" s="157">
        <f t="shared" si="7"/>
        <v>0</v>
      </c>
      <c r="U128" s="161">
        <f t="shared" si="8"/>
        <v>0</v>
      </c>
      <c r="X128" s="31">
        <v>24</v>
      </c>
      <c r="Y128" s="7" t="s">
        <v>12</v>
      </c>
      <c r="Z128" s="7" t="s">
        <v>18</v>
      </c>
      <c r="AA128" s="7" t="s">
        <v>17</v>
      </c>
      <c r="AB128" s="20" t="s">
        <v>24</v>
      </c>
    </row>
    <row r="129" spans="1:28" ht="12.75">
      <c r="A129" s="12">
        <v>24</v>
      </c>
      <c r="B129" s="162">
        <f>HjArk!B27</f>
        <v>0</v>
      </c>
      <c r="C129" s="155" t="str">
        <f t="shared" si="0"/>
        <v> - </v>
      </c>
      <c r="D129" s="156" t="str">
        <f ca="1" t="shared" si="9"/>
        <v> - </v>
      </c>
      <c r="E129" s="156" t="str">
        <f ca="1" t="shared" si="10"/>
        <v> - </v>
      </c>
      <c r="F129" s="157">
        <f t="shared" si="1"/>
        <v>0</v>
      </c>
      <c r="G129" s="158">
        <f t="shared" si="2"/>
        <v>0</v>
      </c>
      <c r="H129" s="1">
        <v>24</v>
      </c>
      <c r="I129" s="162">
        <f>HjArk!B27</f>
        <v>0</v>
      </c>
      <c r="J129" s="159" t="str">
        <f t="shared" si="3"/>
        <v> - </v>
      </c>
      <c r="K129" s="159" t="str">
        <f ca="1" t="shared" si="11"/>
        <v> - </v>
      </c>
      <c r="L129" s="159" t="str">
        <f ca="1" t="shared" si="12"/>
        <v> - </v>
      </c>
      <c r="M129" s="157">
        <f t="shared" si="4"/>
        <v>0</v>
      </c>
      <c r="N129" s="157">
        <f t="shared" si="5"/>
        <v>0</v>
      </c>
      <c r="O129" s="1">
        <v>24</v>
      </c>
      <c r="P129" s="162">
        <f>HjArk!B27</f>
        <v>0</v>
      </c>
      <c r="Q129" s="160" t="str">
        <f t="shared" si="6"/>
        <v> - </v>
      </c>
      <c r="R129" s="159" t="str">
        <f ca="1" t="shared" si="13"/>
        <v> - </v>
      </c>
      <c r="S129" s="159" t="str">
        <f ca="1" t="shared" si="14"/>
        <v> - </v>
      </c>
      <c r="T129" s="157">
        <f t="shared" si="7"/>
        <v>0</v>
      </c>
      <c r="U129" s="161">
        <f t="shared" si="8"/>
        <v>0</v>
      </c>
      <c r="X129" s="31">
        <v>25</v>
      </c>
      <c r="Y129" s="7" t="s">
        <v>12</v>
      </c>
      <c r="Z129" s="7" t="s">
        <v>18</v>
      </c>
      <c r="AA129" s="7" t="s">
        <v>12</v>
      </c>
      <c r="AB129" s="20" t="s">
        <v>24</v>
      </c>
    </row>
    <row r="130" spans="1:28" ht="12.75">
      <c r="A130" s="12">
        <v>25</v>
      </c>
      <c r="B130" s="162">
        <f>HjArk!B28</f>
        <v>0</v>
      </c>
      <c r="C130" s="155" t="str">
        <f t="shared" si="0"/>
        <v> - </v>
      </c>
      <c r="D130" s="156" t="str">
        <f ca="1" t="shared" si="9"/>
        <v> - </v>
      </c>
      <c r="E130" s="156" t="str">
        <f ca="1" t="shared" si="10"/>
        <v> - </v>
      </c>
      <c r="F130" s="157">
        <f t="shared" si="1"/>
        <v>0</v>
      </c>
      <c r="G130" s="158">
        <f t="shared" si="2"/>
        <v>0</v>
      </c>
      <c r="H130" s="1">
        <v>25</v>
      </c>
      <c r="I130" s="162">
        <f>HjArk!B28</f>
        <v>0</v>
      </c>
      <c r="J130" s="159" t="str">
        <f t="shared" si="3"/>
        <v> - </v>
      </c>
      <c r="K130" s="159" t="str">
        <f ca="1" t="shared" si="11"/>
        <v> - </v>
      </c>
      <c r="L130" s="159" t="str">
        <f ca="1" t="shared" si="12"/>
        <v> - </v>
      </c>
      <c r="M130" s="157">
        <f t="shared" si="4"/>
        <v>0</v>
      </c>
      <c r="N130" s="157">
        <f t="shared" si="5"/>
        <v>0</v>
      </c>
      <c r="O130" s="1">
        <v>25</v>
      </c>
      <c r="P130" s="162">
        <f>HjArk!B28</f>
        <v>0</v>
      </c>
      <c r="Q130" s="160" t="str">
        <f t="shared" si="6"/>
        <v> - </v>
      </c>
      <c r="R130" s="159" t="str">
        <f ca="1" t="shared" si="13"/>
        <v> - </v>
      </c>
      <c r="S130" s="159" t="str">
        <f ca="1" t="shared" si="14"/>
        <v> - </v>
      </c>
      <c r="T130" s="157">
        <f t="shared" si="7"/>
        <v>0</v>
      </c>
      <c r="U130" s="161">
        <f t="shared" si="8"/>
        <v>0</v>
      </c>
      <c r="X130" s="31">
        <v>26</v>
      </c>
      <c r="Y130" s="7" t="s">
        <v>12</v>
      </c>
      <c r="Z130" s="7" t="s">
        <v>18</v>
      </c>
      <c r="AA130" s="7" t="s">
        <v>17</v>
      </c>
      <c r="AB130" s="20" t="s">
        <v>24</v>
      </c>
    </row>
    <row r="131" spans="1:28" ht="12.75">
      <c r="A131" s="12">
        <v>26</v>
      </c>
      <c r="B131" s="162">
        <f>HjArk!B29</f>
        <v>0</v>
      </c>
      <c r="C131" s="155" t="str">
        <f t="shared" si="0"/>
        <v> - </v>
      </c>
      <c r="D131" s="156" t="str">
        <f ca="1" t="shared" si="9"/>
        <v> - </v>
      </c>
      <c r="E131" s="156" t="str">
        <f ca="1" t="shared" si="10"/>
        <v> - </v>
      </c>
      <c r="F131" s="157">
        <f t="shared" si="1"/>
        <v>0</v>
      </c>
      <c r="G131" s="158">
        <f t="shared" si="2"/>
        <v>0</v>
      </c>
      <c r="H131" s="1">
        <v>26</v>
      </c>
      <c r="I131" s="162">
        <f>HjArk!B29</f>
        <v>0</v>
      </c>
      <c r="J131" s="159" t="str">
        <f t="shared" si="3"/>
        <v> - </v>
      </c>
      <c r="K131" s="159" t="str">
        <f ca="1" t="shared" si="11"/>
        <v> - </v>
      </c>
      <c r="L131" s="159" t="str">
        <f ca="1" t="shared" si="12"/>
        <v> - </v>
      </c>
      <c r="M131" s="157">
        <f t="shared" si="4"/>
        <v>0</v>
      </c>
      <c r="N131" s="157">
        <f t="shared" si="5"/>
        <v>0</v>
      </c>
      <c r="O131" s="1">
        <v>26</v>
      </c>
      <c r="P131" s="162">
        <f>HjArk!B29</f>
        <v>0</v>
      </c>
      <c r="Q131" s="160" t="str">
        <f t="shared" si="6"/>
        <v> - </v>
      </c>
      <c r="R131" s="159" t="str">
        <f ca="1" t="shared" si="13"/>
        <v> - </v>
      </c>
      <c r="S131" s="159" t="str">
        <f ca="1" t="shared" si="14"/>
        <v> - </v>
      </c>
      <c r="T131" s="157">
        <f t="shared" si="7"/>
        <v>0</v>
      </c>
      <c r="U131" s="161">
        <f t="shared" si="8"/>
        <v>0</v>
      </c>
      <c r="X131" s="31">
        <v>27</v>
      </c>
      <c r="Y131" s="7" t="s">
        <v>12</v>
      </c>
      <c r="Z131" s="7" t="s">
        <v>18</v>
      </c>
      <c r="AA131" s="7" t="s">
        <v>17</v>
      </c>
      <c r="AB131" s="20" t="s">
        <v>24</v>
      </c>
    </row>
    <row r="132" spans="1:28" ht="12.75">
      <c r="A132" s="12">
        <v>27</v>
      </c>
      <c r="B132" s="162">
        <f>HjArk!B30</f>
        <v>0</v>
      </c>
      <c r="C132" s="155" t="str">
        <f t="shared" si="0"/>
        <v> - </v>
      </c>
      <c r="D132" s="156" t="str">
        <f ca="1" t="shared" si="9"/>
        <v> - </v>
      </c>
      <c r="E132" s="156" t="str">
        <f ca="1" t="shared" si="10"/>
        <v> - </v>
      </c>
      <c r="F132" s="157">
        <f t="shared" si="1"/>
        <v>0</v>
      </c>
      <c r="G132" s="158">
        <f t="shared" si="2"/>
        <v>0</v>
      </c>
      <c r="H132" s="1">
        <v>27</v>
      </c>
      <c r="I132" s="162">
        <f>HjArk!B30</f>
        <v>0</v>
      </c>
      <c r="J132" s="159" t="str">
        <f t="shared" si="3"/>
        <v> - </v>
      </c>
      <c r="K132" s="159" t="str">
        <f ca="1" t="shared" si="11"/>
        <v> - </v>
      </c>
      <c r="L132" s="159" t="str">
        <f ca="1" t="shared" si="12"/>
        <v> - </v>
      </c>
      <c r="M132" s="157">
        <f t="shared" si="4"/>
        <v>0</v>
      </c>
      <c r="N132" s="157">
        <f t="shared" si="5"/>
        <v>0</v>
      </c>
      <c r="O132" s="1">
        <v>27</v>
      </c>
      <c r="P132" s="162">
        <f>HjArk!B30</f>
        <v>0</v>
      </c>
      <c r="Q132" s="160" t="str">
        <f t="shared" si="6"/>
        <v> - </v>
      </c>
      <c r="R132" s="159" t="str">
        <f ca="1" t="shared" si="13"/>
        <v> - </v>
      </c>
      <c r="S132" s="159" t="str">
        <f ca="1" t="shared" si="14"/>
        <v> - </v>
      </c>
      <c r="T132" s="157">
        <f t="shared" si="7"/>
        <v>0</v>
      </c>
      <c r="U132" s="161">
        <f t="shared" si="8"/>
        <v>0</v>
      </c>
      <c r="X132" s="31">
        <v>28</v>
      </c>
      <c r="Y132" s="7" t="s">
        <v>12</v>
      </c>
      <c r="Z132" s="7" t="s">
        <v>18</v>
      </c>
      <c r="AA132" s="7" t="s">
        <v>17</v>
      </c>
      <c r="AB132" s="20" t="s">
        <v>24</v>
      </c>
    </row>
    <row r="133" spans="1:28" ht="12.75">
      <c r="A133" s="12">
        <v>28</v>
      </c>
      <c r="B133" s="162">
        <f>HjArk!B31</f>
        <v>0</v>
      </c>
      <c r="C133" s="155" t="str">
        <f t="shared" si="0"/>
        <v> - </v>
      </c>
      <c r="D133" s="156" t="str">
        <f ca="1" t="shared" si="9"/>
        <v> - </v>
      </c>
      <c r="E133" s="156" t="str">
        <f ca="1" t="shared" si="10"/>
        <v> - </v>
      </c>
      <c r="F133" s="157">
        <f t="shared" si="1"/>
        <v>0</v>
      </c>
      <c r="G133" s="158">
        <f t="shared" si="2"/>
        <v>0</v>
      </c>
      <c r="H133" s="1">
        <v>28</v>
      </c>
      <c r="I133" s="162">
        <f>HjArk!B31</f>
        <v>0</v>
      </c>
      <c r="J133" s="159" t="str">
        <f t="shared" si="3"/>
        <v> - </v>
      </c>
      <c r="K133" s="159" t="str">
        <f ca="1" t="shared" si="11"/>
        <v> - </v>
      </c>
      <c r="L133" s="159" t="str">
        <f ca="1" t="shared" si="12"/>
        <v> - </v>
      </c>
      <c r="M133" s="157">
        <f t="shared" si="4"/>
        <v>0</v>
      </c>
      <c r="N133" s="157">
        <f t="shared" si="5"/>
        <v>0</v>
      </c>
      <c r="O133" s="1">
        <v>28</v>
      </c>
      <c r="P133" s="162">
        <f>HjArk!B31</f>
        <v>0</v>
      </c>
      <c r="Q133" s="160" t="str">
        <f t="shared" si="6"/>
        <v> - </v>
      </c>
      <c r="R133" s="159" t="str">
        <f ca="1" t="shared" si="13"/>
        <v> - </v>
      </c>
      <c r="S133" s="159" t="str">
        <f ca="1" t="shared" si="14"/>
        <v> - </v>
      </c>
      <c r="T133" s="157">
        <f t="shared" si="7"/>
        <v>0</v>
      </c>
      <c r="U133" s="161">
        <f t="shared" si="8"/>
        <v>0</v>
      </c>
      <c r="X133" s="31">
        <v>29</v>
      </c>
      <c r="Y133" s="7" t="s">
        <v>12</v>
      </c>
      <c r="Z133" s="7" t="s">
        <v>18</v>
      </c>
      <c r="AA133" s="7" t="s">
        <v>17</v>
      </c>
      <c r="AB133" s="20" t="s">
        <v>24</v>
      </c>
    </row>
    <row r="134" spans="1:28" ht="12.75">
      <c r="A134" s="12">
        <v>29</v>
      </c>
      <c r="B134" s="162">
        <f>HjArk!B32</f>
        <v>0</v>
      </c>
      <c r="C134" s="155" t="str">
        <f t="shared" si="0"/>
        <v> - </v>
      </c>
      <c r="D134" s="156" t="str">
        <f ca="1" t="shared" si="9"/>
        <v> - </v>
      </c>
      <c r="E134" s="156" t="str">
        <f ca="1" t="shared" si="10"/>
        <v> - </v>
      </c>
      <c r="F134" s="157">
        <f t="shared" si="1"/>
        <v>0</v>
      </c>
      <c r="G134" s="158">
        <f t="shared" si="2"/>
        <v>0</v>
      </c>
      <c r="H134" s="1">
        <v>29</v>
      </c>
      <c r="I134" s="162">
        <f>HjArk!B32</f>
        <v>0</v>
      </c>
      <c r="J134" s="159" t="str">
        <f t="shared" si="3"/>
        <v> - </v>
      </c>
      <c r="K134" s="159" t="str">
        <f ca="1" t="shared" si="11"/>
        <v> - </v>
      </c>
      <c r="L134" s="159" t="str">
        <f ca="1" t="shared" si="12"/>
        <v> - </v>
      </c>
      <c r="M134" s="157">
        <f t="shared" si="4"/>
        <v>0</v>
      </c>
      <c r="N134" s="157">
        <f t="shared" si="5"/>
        <v>0</v>
      </c>
      <c r="O134" s="1">
        <v>29</v>
      </c>
      <c r="P134" s="162">
        <f>HjArk!B32</f>
        <v>0</v>
      </c>
      <c r="Q134" s="160" t="str">
        <f t="shared" si="6"/>
        <v> - </v>
      </c>
      <c r="R134" s="159" t="str">
        <f ca="1" t="shared" si="13"/>
        <v> - </v>
      </c>
      <c r="S134" s="159" t="str">
        <f ca="1" t="shared" si="14"/>
        <v> - </v>
      </c>
      <c r="T134" s="157">
        <f t="shared" si="7"/>
        <v>0</v>
      </c>
      <c r="U134" s="161">
        <f t="shared" si="8"/>
        <v>0</v>
      </c>
      <c r="X134" s="31">
        <v>30</v>
      </c>
      <c r="Y134" s="7" t="s">
        <v>12</v>
      </c>
      <c r="Z134" s="7" t="s">
        <v>18</v>
      </c>
      <c r="AA134" s="7" t="s">
        <v>17</v>
      </c>
      <c r="AB134" s="20" t="s">
        <v>24</v>
      </c>
    </row>
    <row r="135" spans="1:28" ht="12.75">
      <c r="A135" s="12">
        <v>30</v>
      </c>
      <c r="B135" s="162">
        <f>HjArk!B33</f>
        <v>0</v>
      </c>
      <c r="C135" s="155" t="str">
        <f t="shared" si="0"/>
        <v> - </v>
      </c>
      <c r="D135" s="156" t="str">
        <f ca="1" t="shared" si="9"/>
        <v> - </v>
      </c>
      <c r="E135" s="156" t="str">
        <f ca="1" t="shared" si="10"/>
        <v> - </v>
      </c>
      <c r="F135" s="157">
        <f t="shared" si="1"/>
        <v>0</v>
      </c>
      <c r="G135" s="158">
        <f t="shared" si="2"/>
        <v>0</v>
      </c>
      <c r="H135" s="1">
        <v>30</v>
      </c>
      <c r="I135" s="162">
        <f>HjArk!B33</f>
        <v>0</v>
      </c>
      <c r="J135" s="159" t="str">
        <f t="shared" si="3"/>
        <v> - </v>
      </c>
      <c r="K135" s="159" t="str">
        <f ca="1" t="shared" si="11"/>
        <v> - </v>
      </c>
      <c r="L135" s="159" t="str">
        <f ca="1" t="shared" si="12"/>
        <v> - </v>
      </c>
      <c r="M135" s="157">
        <f t="shared" si="4"/>
        <v>0</v>
      </c>
      <c r="N135" s="157">
        <f t="shared" si="5"/>
        <v>0</v>
      </c>
      <c r="O135" s="1">
        <v>30</v>
      </c>
      <c r="P135" s="162">
        <f>HjArk!B33</f>
        <v>0</v>
      </c>
      <c r="Q135" s="160" t="str">
        <f t="shared" si="6"/>
        <v> - </v>
      </c>
      <c r="R135" s="159" t="str">
        <f ca="1" t="shared" si="13"/>
        <v> - </v>
      </c>
      <c r="S135" s="159" t="str">
        <f ca="1" t="shared" si="14"/>
        <v> - </v>
      </c>
      <c r="T135" s="157">
        <f t="shared" si="7"/>
        <v>0</v>
      </c>
      <c r="U135" s="161">
        <f t="shared" si="8"/>
        <v>0</v>
      </c>
      <c r="X135" s="31">
        <v>31</v>
      </c>
      <c r="Y135" s="7" t="s">
        <v>12</v>
      </c>
      <c r="Z135" s="7" t="s">
        <v>18</v>
      </c>
      <c r="AA135" s="7" t="s">
        <v>17</v>
      </c>
      <c r="AB135" s="20" t="s">
        <v>24</v>
      </c>
    </row>
    <row r="136" spans="1:28" ht="13.5" thickBot="1">
      <c r="A136" s="12">
        <v>31</v>
      </c>
      <c r="B136" s="162">
        <f>HjArk!B34</f>
        <v>0</v>
      </c>
      <c r="C136" s="155" t="str">
        <f t="shared" si="0"/>
        <v> - </v>
      </c>
      <c r="D136" s="156" t="str">
        <f ca="1" t="shared" si="9"/>
        <v> - </v>
      </c>
      <c r="E136" s="156" t="str">
        <f ca="1" t="shared" si="10"/>
        <v> - </v>
      </c>
      <c r="F136" s="157">
        <f t="shared" si="1"/>
        <v>0</v>
      </c>
      <c r="G136" s="158">
        <f t="shared" si="2"/>
        <v>0</v>
      </c>
      <c r="H136" s="1">
        <v>31</v>
      </c>
      <c r="I136" s="162">
        <f>HjArk!B34</f>
        <v>0</v>
      </c>
      <c r="J136" s="159" t="str">
        <f t="shared" si="3"/>
        <v> - </v>
      </c>
      <c r="K136" s="159" t="str">
        <f ca="1" t="shared" si="11"/>
        <v> - </v>
      </c>
      <c r="L136" s="159" t="str">
        <f ca="1" t="shared" si="12"/>
        <v> - </v>
      </c>
      <c r="M136" s="157">
        <f t="shared" si="4"/>
        <v>0</v>
      </c>
      <c r="N136" s="157">
        <f t="shared" si="5"/>
        <v>0</v>
      </c>
      <c r="O136" s="1">
        <v>31</v>
      </c>
      <c r="P136" s="162">
        <f>HjArk!B34</f>
        <v>0</v>
      </c>
      <c r="Q136" s="160" t="str">
        <f t="shared" si="6"/>
        <v> - </v>
      </c>
      <c r="R136" s="159" t="str">
        <f ca="1" t="shared" si="13"/>
        <v> - </v>
      </c>
      <c r="S136" s="159" t="str">
        <f ca="1" t="shared" si="14"/>
        <v> - </v>
      </c>
      <c r="T136" s="157">
        <f t="shared" si="7"/>
        <v>0</v>
      </c>
      <c r="U136" s="161">
        <f t="shared" si="8"/>
        <v>0</v>
      </c>
      <c r="X136" s="36">
        <v>32</v>
      </c>
      <c r="Y136" s="38" t="s">
        <v>12</v>
      </c>
      <c r="Z136" s="38" t="s">
        <v>18</v>
      </c>
      <c r="AA136" s="38" t="s">
        <v>17</v>
      </c>
      <c r="AB136" s="30" t="s">
        <v>24</v>
      </c>
    </row>
    <row r="137" spans="1:21" ht="12.75">
      <c r="A137" s="12">
        <v>32</v>
      </c>
      <c r="B137" s="162">
        <f>HjArk!B35</f>
        <v>0</v>
      </c>
      <c r="C137" s="155" t="str">
        <f t="shared" si="0"/>
        <v> - </v>
      </c>
      <c r="D137" s="156" t="str">
        <f ca="1" t="shared" si="9"/>
        <v> - </v>
      </c>
      <c r="E137" s="156" t="str">
        <f ca="1" t="shared" si="10"/>
        <v> - </v>
      </c>
      <c r="F137" s="157">
        <f t="shared" si="1"/>
        <v>0</v>
      </c>
      <c r="G137" s="158">
        <f t="shared" si="2"/>
        <v>0</v>
      </c>
      <c r="H137" s="1">
        <v>32</v>
      </c>
      <c r="I137" s="162">
        <f>HjArk!B35</f>
        <v>0</v>
      </c>
      <c r="J137" s="159" t="str">
        <f t="shared" si="3"/>
        <v> - </v>
      </c>
      <c r="K137" s="159" t="str">
        <f ca="1" t="shared" si="11"/>
        <v> - </v>
      </c>
      <c r="L137" s="159" t="str">
        <f ca="1" t="shared" si="12"/>
        <v> - </v>
      </c>
      <c r="M137" s="157">
        <f t="shared" si="4"/>
        <v>0</v>
      </c>
      <c r="N137" s="157">
        <f t="shared" si="5"/>
        <v>0</v>
      </c>
      <c r="O137" s="1">
        <v>32</v>
      </c>
      <c r="P137" s="162">
        <f>HjArk!B35</f>
        <v>0</v>
      </c>
      <c r="Q137" s="160" t="str">
        <f t="shared" si="6"/>
        <v> - </v>
      </c>
      <c r="R137" s="159" t="str">
        <f ca="1" t="shared" si="13"/>
        <v> - </v>
      </c>
      <c r="S137" s="159" t="str">
        <f ca="1" t="shared" si="14"/>
        <v> - </v>
      </c>
      <c r="T137" s="157">
        <f t="shared" si="7"/>
        <v>0</v>
      </c>
      <c r="U137" s="161">
        <f t="shared" si="8"/>
        <v>0</v>
      </c>
    </row>
    <row r="138" spans="1:21" ht="12.75">
      <c r="A138" s="12">
        <v>33</v>
      </c>
      <c r="B138" s="162">
        <f>HjArk!B36</f>
        <v>0</v>
      </c>
      <c r="C138" s="155" t="str">
        <f t="shared" si="0"/>
        <v> - </v>
      </c>
      <c r="D138" s="156" t="str">
        <f ca="1" t="shared" si="9"/>
        <v> - </v>
      </c>
      <c r="E138" s="156" t="str">
        <f ca="1" t="shared" si="10"/>
        <v> - </v>
      </c>
      <c r="F138" s="157">
        <f t="shared" si="1"/>
        <v>0</v>
      </c>
      <c r="G138" s="158">
        <f t="shared" si="2"/>
        <v>0</v>
      </c>
      <c r="H138" s="1">
        <v>33</v>
      </c>
      <c r="I138" s="162">
        <f>HjArk!B36</f>
        <v>0</v>
      </c>
      <c r="J138" s="159" t="str">
        <f t="shared" si="3"/>
        <v> - </v>
      </c>
      <c r="K138" s="159" t="str">
        <f ca="1" t="shared" si="11"/>
        <v> - </v>
      </c>
      <c r="L138" s="159" t="str">
        <f ca="1" t="shared" si="12"/>
        <v> - </v>
      </c>
      <c r="M138" s="157">
        <f t="shared" si="4"/>
        <v>0</v>
      </c>
      <c r="N138" s="157">
        <f t="shared" si="5"/>
        <v>0</v>
      </c>
      <c r="O138" s="1">
        <v>33</v>
      </c>
      <c r="P138" s="162">
        <f>HjArk!B36</f>
        <v>0</v>
      </c>
      <c r="Q138" s="160" t="str">
        <f t="shared" si="6"/>
        <v> - </v>
      </c>
      <c r="R138" s="159" t="str">
        <f ca="1" t="shared" si="13"/>
        <v> - </v>
      </c>
      <c r="S138" s="159" t="str">
        <f ca="1" t="shared" si="14"/>
        <v> - </v>
      </c>
      <c r="T138" s="157">
        <f t="shared" si="7"/>
        <v>0</v>
      </c>
      <c r="U138" s="161">
        <f t="shared" si="8"/>
        <v>0</v>
      </c>
    </row>
    <row r="139" spans="1:21" ht="13.5" thickBot="1">
      <c r="A139" s="29">
        <v>34</v>
      </c>
      <c r="B139" s="163">
        <f>HjArk!B37</f>
        <v>0</v>
      </c>
      <c r="C139" s="164" t="str">
        <f t="shared" si="0"/>
        <v> - </v>
      </c>
      <c r="D139" s="165" t="str">
        <f ca="1" t="shared" si="9"/>
        <v> - </v>
      </c>
      <c r="E139" s="165" t="str">
        <f ca="1" t="shared" si="10"/>
        <v> - </v>
      </c>
      <c r="F139" s="166">
        <f t="shared" si="1"/>
        <v>0</v>
      </c>
      <c r="G139" s="167">
        <f t="shared" si="2"/>
        <v>0</v>
      </c>
      <c r="H139" s="37">
        <v>34</v>
      </c>
      <c r="I139" s="163">
        <f>HjArk!B37</f>
        <v>0</v>
      </c>
      <c r="J139" s="168" t="str">
        <f t="shared" si="3"/>
        <v> - </v>
      </c>
      <c r="K139" s="168" t="str">
        <f ca="1" t="shared" si="11"/>
        <v> - </v>
      </c>
      <c r="L139" s="168" t="str">
        <f ca="1" t="shared" si="12"/>
        <v> - </v>
      </c>
      <c r="M139" s="166">
        <f t="shared" si="4"/>
        <v>0</v>
      </c>
      <c r="N139" s="166">
        <f t="shared" si="5"/>
        <v>0</v>
      </c>
      <c r="O139" s="37">
        <v>34</v>
      </c>
      <c r="P139" s="163">
        <f>HjArk!B37</f>
        <v>0</v>
      </c>
      <c r="Q139" s="169" t="str">
        <f t="shared" si="6"/>
        <v> - </v>
      </c>
      <c r="R139" s="168" t="str">
        <f ca="1" t="shared" si="13"/>
        <v> - </v>
      </c>
      <c r="S139" s="168" t="str">
        <f ca="1" t="shared" si="14"/>
        <v> - </v>
      </c>
      <c r="T139" s="166">
        <f t="shared" si="7"/>
        <v>0</v>
      </c>
      <c r="U139" s="170">
        <f t="shared" si="8"/>
        <v>0</v>
      </c>
    </row>
    <row r="140" spans="1:21" ht="12.75">
      <c r="A140" s="1"/>
      <c r="B140" s="159"/>
      <c r="C140" s="159"/>
      <c r="D140" s="159"/>
      <c r="E140" s="159"/>
      <c r="F140" s="160"/>
      <c r="G140" s="160"/>
      <c r="H140" s="1"/>
      <c r="I140" s="159"/>
      <c r="J140" s="159"/>
      <c r="K140" s="159"/>
      <c r="L140" s="159"/>
      <c r="M140" s="160"/>
      <c r="N140" s="160"/>
      <c r="O140" s="1"/>
      <c r="P140" s="159"/>
      <c r="Q140" s="160"/>
      <c r="R140" s="159"/>
      <c r="S140" s="159"/>
      <c r="T140" s="160"/>
      <c r="U140" s="160"/>
    </row>
    <row r="143" ht="12.75">
      <c r="A143" t="s">
        <v>154</v>
      </c>
    </row>
    <row r="144" spans="2:65" ht="13.5" thickBot="1">
      <c r="B144" s="239" t="s">
        <v>6</v>
      </c>
      <c r="C144" s="240" t="s">
        <v>7</v>
      </c>
      <c r="D144" s="240" t="s">
        <v>127</v>
      </c>
      <c r="E144" s="240" t="s">
        <v>128</v>
      </c>
      <c r="F144" s="240" t="s">
        <v>194</v>
      </c>
      <c r="G144" s="240" t="s">
        <v>129</v>
      </c>
      <c r="H144" s="240" t="s">
        <v>130</v>
      </c>
      <c r="I144" s="240" t="s">
        <v>131</v>
      </c>
      <c r="J144" s="241" t="s">
        <v>8</v>
      </c>
      <c r="K144" s="240" t="s">
        <v>9</v>
      </c>
      <c r="L144" s="240" t="s">
        <v>132</v>
      </c>
      <c r="M144" s="240" t="s">
        <v>133</v>
      </c>
      <c r="N144" s="240" t="s">
        <v>134</v>
      </c>
      <c r="O144" s="240" t="s">
        <v>135</v>
      </c>
      <c r="P144" s="240" t="s">
        <v>136</v>
      </c>
      <c r="Q144" s="240" t="s">
        <v>137</v>
      </c>
      <c r="R144" s="239" t="s">
        <v>10</v>
      </c>
      <c r="S144" s="240" t="s">
        <v>11</v>
      </c>
      <c r="T144" s="240" t="s">
        <v>138</v>
      </c>
      <c r="U144" s="240" t="s">
        <v>139</v>
      </c>
      <c r="V144" s="240" t="s">
        <v>195</v>
      </c>
      <c r="W144" s="240" t="s">
        <v>140</v>
      </c>
      <c r="X144" s="240" t="s">
        <v>141</v>
      </c>
      <c r="Y144" s="240" t="s">
        <v>142</v>
      </c>
      <c r="Z144" s="241" t="s">
        <v>45</v>
      </c>
      <c r="AA144" s="240" t="s">
        <v>46</v>
      </c>
      <c r="AB144" s="240" t="s">
        <v>143</v>
      </c>
      <c r="AC144" s="240" t="s">
        <v>144</v>
      </c>
      <c r="AD144" s="240" t="s">
        <v>145</v>
      </c>
      <c r="AE144" s="240" t="s">
        <v>146</v>
      </c>
      <c r="AF144" s="240" t="s">
        <v>147</v>
      </c>
      <c r="AG144" s="240" t="s">
        <v>148</v>
      </c>
      <c r="AH144" s="240" t="s">
        <v>29</v>
      </c>
      <c r="AI144" s="240" t="s">
        <v>12</v>
      </c>
      <c r="AJ144" s="240" t="s">
        <v>13</v>
      </c>
      <c r="AK144" s="240" t="s">
        <v>14</v>
      </c>
      <c r="AL144" s="240" t="s">
        <v>26</v>
      </c>
      <c r="AM144" s="240" t="s">
        <v>15</v>
      </c>
      <c r="AN144" s="240" t="s">
        <v>16</v>
      </c>
      <c r="AO144" s="240" t="s">
        <v>17</v>
      </c>
      <c r="AP144" s="240" t="s">
        <v>28</v>
      </c>
      <c r="AQ144" s="240" t="s">
        <v>18</v>
      </c>
      <c r="AR144" s="240" t="s">
        <v>19</v>
      </c>
      <c r="AS144" s="240" t="s">
        <v>20</v>
      </c>
      <c r="AT144" s="240" t="s">
        <v>21</v>
      </c>
      <c r="AU144" s="240" t="s">
        <v>22</v>
      </c>
      <c r="AV144" s="240" t="s">
        <v>23</v>
      </c>
      <c r="AW144" s="240" t="s">
        <v>24</v>
      </c>
      <c r="AX144" s="242" t="s">
        <v>36</v>
      </c>
      <c r="AY144" s="242" t="s">
        <v>31</v>
      </c>
      <c r="AZ144" s="242" t="s">
        <v>30</v>
      </c>
      <c r="BA144" s="242" t="s">
        <v>33</v>
      </c>
      <c r="BB144" s="242" t="s">
        <v>37</v>
      </c>
      <c r="BC144" s="242" t="s">
        <v>32</v>
      </c>
      <c r="BD144" s="242" t="s">
        <v>34</v>
      </c>
      <c r="BE144" s="242" t="s">
        <v>35</v>
      </c>
      <c r="BF144" s="242" t="s">
        <v>41</v>
      </c>
      <c r="BG144" s="242" t="s">
        <v>39</v>
      </c>
      <c r="BH144" s="242" t="s">
        <v>40</v>
      </c>
      <c r="BI144" s="242" t="s">
        <v>38</v>
      </c>
      <c r="BJ144" s="124" t="s">
        <v>43</v>
      </c>
      <c r="BK144" s="124" t="s">
        <v>42</v>
      </c>
      <c r="BL144" s="124" t="s">
        <v>149</v>
      </c>
      <c r="BM144" s="124" t="s">
        <v>150</v>
      </c>
    </row>
    <row r="145" spans="1:65" ht="12.75">
      <c r="A145" s="248">
        <v>1</v>
      </c>
      <c r="B145" s="146" t="s">
        <v>151</v>
      </c>
      <c r="C145" s="146" t="s">
        <v>151</v>
      </c>
      <c r="D145" s="146" t="s">
        <v>151</v>
      </c>
      <c r="E145" s="146" t="s">
        <v>151</v>
      </c>
      <c r="F145" s="146" t="s">
        <v>151</v>
      </c>
      <c r="G145" s="146" t="s">
        <v>151</v>
      </c>
      <c r="H145" s="146" t="s">
        <v>151</v>
      </c>
      <c r="I145" s="146" t="s">
        <v>151</v>
      </c>
      <c r="J145" s="146" t="s">
        <v>151</v>
      </c>
      <c r="K145" s="146" t="s">
        <v>151</v>
      </c>
      <c r="L145" s="146" t="s">
        <v>151</v>
      </c>
      <c r="M145" s="146" t="s">
        <v>151</v>
      </c>
      <c r="N145" s="146" t="s">
        <v>151</v>
      </c>
      <c r="O145" s="146" t="s">
        <v>151</v>
      </c>
      <c r="P145" s="146" t="s">
        <v>151</v>
      </c>
      <c r="Q145" s="146" t="s">
        <v>151</v>
      </c>
      <c r="R145" s="146" t="s">
        <v>151</v>
      </c>
      <c r="S145" s="146" t="s">
        <v>151</v>
      </c>
      <c r="T145" s="146" t="s">
        <v>151</v>
      </c>
      <c r="U145" s="146" t="s">
        <v>151</v>
      </c>
      <c r="V145" s="146" t="s">
        <v>151</v>
      </c>
      <c r="W145" s="146" t="s">
        <v>151</v>
      </c>
      <c r="X145" s="146" t="s">
        <v>151</v>
      </c>
      <c r="Y145" s="146" t="s">
        <v>151</v>
      </c>
      <c r="Z145" s="146" t="s">
        <v>151</v>
      </c>
      <c r="AA145" s="146" t="s">
        <v>151</v>
      </c>
      <c r="AB145" s="146" t="s">
        <v>151</v>
      </c>
      <c r="AC145" s="146" t="s">
        <v>151</v>
      </c>
      <c r="AD145" s="146" t="s">
        <v>151</v>
      </c>
      <c r="AE145" s="146" t="s">
        <v>151</v>
      </c>
      <c r="AF145" s="146" t="s">
        <v>151</v>
      </c>
      <c r="AG145" s="146" t="s">
        <v>151</v>
      </c>
      <c r="AH145" s="146" t="s">
        <v>151</v>
      </c>
      <c r="AI145" s="146" t="s">
        <v>151</v>
      </c>
      <c r="AJ145" s="146" t="s">
        <v>151</v>
      </c>
      <c r="AK145" s="146" t="s">
        <v>151</v>
      </c>
      <c r="AL145" s="146" t="s">
        <v>151</v>
      </c>
      <c r="AM145" s="146" t="s">
        <v>151</v>
      </c>
      <c r="AN145" s="146" t="s">
        <v>151</v>
      </c>
      <c r="AO145" s="146" t="s">
        <v>151</v>
      </c>
      <c r="AP145" s="146" t="s">
        <v>151</v>
      </c>
      <c r="AQ145" s="146" t="s">
        <v>151</v>
      </c>
      <c r="AR145" s="146" t="s">
        <v>151</v>
      </c>
      <c r="AS145" s="146" t="s">
        <v>151</v>
      </c>
      <c r="AT145" s="146" t="s">
        <v>151</v>
      </c>
      <c r="AU145" s="146" t="s">
        <v>151</v>
      </c>
      <c r="AV145" s="146" t="s">
        <v>151</v>
      </c>
      <c r="AW145" s="146" t="s">
        <v>151</v>
      </c>
      <c r="AX145" s="146" t="s">
        <v>151</v>
      </c>
      <c r="AY145" s="146" t="s">
        <v>151</v>
      </c>
      <c r="AZ145" s="146" t="s">
        <v>151</v>
      </c>
      <c r="BA145" s="146" t="s">
        <v>151</v>
      </c>
      <c r="BB145" s="146" t="s">
        <v>151</v>
      </c>
      <c r="BC145" s="146" t="s">
        <v>151</v>
      </c>
      <c r="BD145" s="146" t="s">
        <v>151</v>
      </c>
      <c r="BE145" s="146" t="s">
        <v>151</v>
      </c>
      <c r="BF145" s="146" t="s">
        <v>151</v>
      </c>
      <c r="BG145" s="146" t="s">
        <v>151</v>
      </c>
      <c r="BH145" s="146" t="s">
        <v>151</v>
      </c>
      <c r="BI145" s="146" t="s">
        <v>151</v>
      </c>
      <c r="BJ145" s="146">
        <v>1</v>
      </c>
      <c r="BK145" s="146" t="s">
        <v>151</v>
      </c>
      <c r="BL145" s="146" t="s">
        <v>151</v>
      </c>
      <c r="BM145" s="13" t="s">
        <v>151</v>
      </c>
    </row>
    <row r="146" spans="1:65" ht="12.75">
      <c r="A146" s="244">
        <v>2</v>
      </c>
      <c r="B146" s="7" t="s">
        <v>151</v>
      </c>
      <c r="C146" s="7" t="s">
        <v>151</v>
      </c>
      <c r="D146" s="7" t="s">
        <v>151</v>
      </c>
      <c r="E146" s="7" t="s">
        <v>151</v>
      </c>
      <c r="F146" s="7" t="s">
        <v>151</v>
      </c>
      <c r="G146" s="7" t="s">
        <v>151</v>
      </c>
      <c r="H146" s="7" t="s">
        <v>151</v>
      </c>
      <c r="I146" s="7" t="s">
        <v>151</v>
      </c>
      <c r="J146" s="7" t="s">
        <v>151</v>
      </c>
      <c r="K146" s="7" t="s">
        <v>151</v>
      </c>
      <c r="L146" s="7" t="s">
        <v>151</v>
      </c>
      <c r="M146" s="7" t="s">
        <v>151</v>
      </c>
      <c r="N146" s="7" t="s">
        <v>151</v>
      </c>
      <c r="O146" s="7" t="s">
        <v>151</v>
      </c>
      <c r="P146" s="7" t="s">
        <v>151</v>
      </c>
      <c r="Q146" s="7" t="s">
        <v>151</v>
      </c>
      <c r="R146" s="7" t="s">
        <v>151</v>
      </c>
      <c r="S146" s="7" t="s">
        <v>151</v>
      </c>
      <c r="T146" s="7" t="s">
        <v>151</v>
      </c>
      <c r="U146" s="7" t="s">
        <v>151</v>
      </c>
      <c r="V146" s="7" t="s">
        <v>151</v>
      </c>
      <c r="W146" s="7" t="s">
        <v>151</v>
      </c>
      <c r="X146" s="7" t="s">
        <v>151</v>
      </c>
      <c r="Y146" s="7" t="s">
        <v>151</v>
      </c>
      <c r="Z146" s="7" t="s">
        <v>151</v>
      </c>
      <c r="AA146" s="7" t="s">
        <v>151</v>
      </c>
      <c r="AB146" s="7" t="s">
        <v>151</v>
      </c>
      <c r="AC146" s="7" t="s">
        <v>151</v>
      </c>
      <c r="AD146" s="7" t="s">
        <v>151</v>
      </c>
      <c r="AE146" s="7" t="s">
        <v>151</v>
      </c>
      <c r="AF146" s="7" t="s">
        <v>151</v>
      </c>
      <c r="AG146" s="7" t="s">
        <v>151</v>
      </c>
      <c r="AH146" s="7" t="s">
        <v>151</v>
      </c>
      <c r="AI146" s="7" t="s">
        <v>151</v>
      </c>
      <c r="AJ146" s="7" t="s">
        <v>151</v>
      </c>
      <c r="AK146" s="7" t="s">
        <v>151</v>
      </c>
      <c r="AL146" s="7" t="s">
        <v>151</v>
      </c>
      <c r="AM146" s="7" t="s">
        <v>151</v>
      </c>
      <c r="AN146" s="7" t="s">
        <v>151</v>
      </c>
      <c r="AO146" s="7" t="s">
        <v>151</v>
      </c>
      <c r="AP146" s="7" t="s">
        <v>151</v>
      </c>
      <c r="AQ146" s="7" t="s">
        <v>151</v>
      </c>
      <c r="AR146" s="7" t="s">
        <v>151</v>
      </c>
      <c r="AS146" s="7" t="s">
        <v>151</v>
      </c>
      <c r="AT146" s="7" t="s">
        <v>151</v>
      </c>
      <c r="AU146" s="7" t="s">
        <v>151</v>
      </c>
      <c r="AV146" s="7" t="s">
        <v>151</v>
      </c>
      <c r="AW146" s="7" t="s">
        <v>151</v>
      </c>
      <c r="AX146" s="7" t="s">
        <v>151</v>
      </c>
      <c r="AY146" s="7" t="s">
        <v>151</v>
      </c>
      <c r="AZ146" s="7" t="s">
        <v>151</v>
      </c>
      <c r="BA146" s="7" t="s">
        <v>151</v>
      </c>
      <c r="BB146" s="7" t="s">
        <v>151</v>
      </c>
      <c r="BC146" s="7" t="s">
        <v>151</v>
      </c>
      <c r="BD146" s="7" t="s">
        <v>151</v>
      </c>
      <c r="BE146" s="7" t="s">
        <v>151</v>
      </c>
      <c r="BF146" s="7" t="s">
        <v>151</v>
      </c>
      <c r="BG146" s="7" t="s">
        <v>151</v>
      </c>
      <c r="BH146" s="7" t="s">
        <v>151</v>
      </c>
      <c r="BI146" s="7" t="s">
        <v>151</v>
      </c>
      <c r="BJ146" s="7">
        <v>1</v>
      </c>
      <c r="BK146" s="7">
        <v>1</v>
      </c>
      <c r="BL146" s="7" t="s">
        <v>151</v>
      </c>
      <c r="BM146" s="20" t="s">
        <v>151</v>
      </c>
    </row>
    <row r="147" spans="1:65" ht="12.75">
      <c r="A147" s="244">
        <v>3</v>
      </c>
      <c r="B147" s="7" t="s">
        <v>151</v>
      </c>
      <c r="C147" s="7" t="s">
        <v>151</v>
      </c>
      <c r="D147" s="7" t="s">
        <v>151</v>
      </c>
      <c r="E147" s="7" t="s">
        <v>151</v>
      </c>
      <c r="F147" s="7" t="s">
        <v>151</v>
      </c>
      <c r="G147" s="7" t="s">
        <v>151</v>
      </c>
      <c r="H147" s="7" t="s">
        <v>151</v>
      </c>
      <c r="I147" s="7" t="s">
        <v>151</v>
      </c>
      <c r="J147" s="7" t="s">
        <v>151</v>
      </c>
      <c r="K147" s="7" t="s">
        <v>151</v>
      </c>
      <c r="L147" s="7" t="s">
        <v>151</v>
      </c>
      <c r="M147" s="7" t="s">
        <v>151</v>
      </c>
      <c r="N147" s="7" t="s">
        <v>151</v>
      </c>
      <c r="O147" s="7" t="s">
        <v>151</v>
      </c>
      <c r="P147" s="7" t="s">
        <v>151</v>
      </c>
      <c r="Q147" s="7" t="s">
        <v>151</v>
      </c>
      <c r="R147" s="7" t="s">
        <v>151</v>
      </c>
      <c r="S147" s="7" t="s">
        <v>151</v>
      </c>
      <c r="T147" s="7" t="s">
        <v>151</v>
      </c>
      <c r="U147" s="7" t="s">
        <v>151</v>
      </c>
      <c r="V147" s="7" t="s">
        <v>151</v>
      </c>
      <c r="W147" s="7" t="s">
        <v>151</v>
      </c>
      <c r="X147" s="7" t="s">
        <v>151</v>
      </c>
      <c r="Y147" s="7" t="s">
        <v>151</v>
      </c>
      <c r="Z147" s="7" t="s">
        <v>151</v>
      </c>
      <c r="AA147" s="7" t="s">
        <v>151</v>
      </c>
      <c r="AB147" s="7" t="s">
        <v>151</v>
      </c>
      <c r="AC147" s="7" t="s">
        <v>151</v>
      </c>
      <c r="AD147" s="7" t="s">
        <v>151</v>
      </c>
      <c r="AE147" s="7" t="s">
        <v>151</v>
      </c>
      <c r="AF147" s="7" t="s">
        <v>151</v>
      </c>
      <c r="AG147" s="7" t="s">
        <v>151</v>
      </c>
      <c r="AH147" s="7" t="s">
        <v>151</v>
      </c>
      <c r="AI147" s="7" t="s">
        <v>151</v>
      </c>
      <c r="AJ147" s="7" t="s">
        <v>151</v>
      </c>
      <c r="AK147" s="7" t="s">
        <v>151</v>
      </c>
      <c r="AL147" s="7" t="s">
        <v>151</v>
      </c>
      <c r="AM147" s="7" t="s">
        <v>151</v>
      </c>
      <c r="AN147" s="7" t="s">
        <v>151</v>
      </c>
      <c r="AO147" s="7" t="s">
        <v>151</v>
      </c>
      <c r="AP147" s="7" t="s">
        <v>151</v>
      </c>
      <c r="AQ147" s="7" t="s">
        <v>151</v>
      </c>
      <c r="AR147" s="7" t="s">
        <v>151</v>
      </c>
      <c r="AS147" s="7" t="s">
        <v>151</v>
      </c>
      <c r="AT147" s="7" t="s">
        <v>151</v>
      </c>
      <c r="AU147" s="7" t="s">
        <v>151</v>
      </c>
      <c r="AV147" s="7" t="s">
        <v>151</v>
      </c>
      <c r="AW147" s="7" t="s">
        <v>151</v>
      </c>
      <c r="AX147" s="7" t="s">
        <v>151</v>
      </c>
      <c r="AY147" s="7" t="s">
        <v>151</v>
      </c>
      <c r="AZ147" s="7" t="s">
        <v>151</v>
      </c>
      <c r="BA147" s="7" t="s">
        <v>151</v>
      </c>
      <c r="BB147" s="7" t="s">
        <v>151</v>
      </c>
      <c r="BC147" s="7" t="s">
        <v>151</v>
      </c>
      <c r="BD147" s="7" t="s">
        <v>151</v>
      </c>
      <c r="BE147" s="7" t="s">
        <v>151</v>
      </c>
      <c r="BF147" s="7">
        <v>1</v>
      </c>
      <c r="BG147" s="7">
        <v>1</v>
      </c>
      <c r="BH147" s="7" t="s">
        <v>151</v>
      </c>
      <c r="BI147" s="7" t="s">
        <v>151</v>
      </c>
      <c r="BJ147" s="7">
        <v>2</v>
      </c>
      <c r="BK147" s="7"/>
      <c r="BL147" s="7" t="s">
        <v>151</v>
      </c>
      <c r="BM147" s="20" t="s">
        <v>151</v>
      </c>
    </row>
    <row r="148" spans="1:65" ht="12.75">
      <c r="A148" s="244">
        <v>4</v>
      </c>
      <c r="B148" s="7" t="s">
        <v>151</v>
      </c>
      <c r="C148" s="7" t="s">
        <v>151</v>
      </c>
      <c r="D148" s="7" t="s">
        <v>151</v>
      </c>
      <c r="E148" s="7" t="s">
        <v>151</v>
      </c>
      <c r="F148" s="7" t="s">
        <v>151</v>
      </c>
      <c r="G148" s="7" t="s">
        <v>151</v>
      </c>
      <c r="H148" s="7" t="s">
        <v>151</v>
      </c>
      <c r="I148" s="7" t="s">
        <v>151</v>
      </c>
      <c r="J148" s="7" t="s">
        <v>151</v>
      </c>
      <c r="K148" s="7" t="s">
        <v>151</v>
      </c>
      <c r="L148" s="7" t="s">
        <v>151</v>
      </c>
      <c r="M148" s="7" t="s">
        <v>151</v>
      </c>
      <c r="N148" s="7" t="s">
        <v>151</v>
      </c>
      <c r="O148" s="7" t="s">
        <v>151</v>
      </c>
      <c r="P148" s="7" t="s">
        <v>151</v>
      </c>
      <c r="Q148" s="7" t="s">
        <v>151</v>
      </c>
      <c r="R148" s="7" t="s">
        <v>151</v>
      </c>
      <c r="S148" s="7" t="s">
        <v>151</v>
      </c>
      <c r="T148" s="7" t="s">
        <v>151</v>
      </c>
      <c r="U148" s="7" t="s">
        <v>151</v>
      </c>
      <c r="V148" s="7" t="s">
        <v>151</v>
      </c>
      <c r="W148" s="7" t="s">
        <v>151</v>
      </c>
      <c r="X148" s="7" t="s">
        <v>151</v>
      </c>
      <c r="Y148" s="7" t="s">
        <v>151</v>
      </c>
      <c r="Z148" s="7" t="s">
        <v>151</v>
      </c>
      <c r="AA148" s="7" t="s">
        <v>151</v>
      </c>
      <c r="AB148" s="7" t="s">
        <v>151</v>
      </c>
      <c r="AC148" s="7" t="s">
        <v>151</v>
      </c>
      <c r="AD148" s="7" t="s">
        <v>151</v>
      </c>
      <c r="AE148" s="7" t="s">
        <v>151</v>
      </c>
      <c r="AF148" s="7" t="s">
        <v>151</v>
      </c>
      <c r="AG148" s="7" t="s">
        <v>151</v>
      </c>
      <c r="AH148" s="7" t="s">
        <v>151</v>
      </c>
      <c r="AI148" s="7" t="s">
        <v>151</v>
      </c>
      <c r="AJ148" s="7" t="s">
        <v>151</v>
      </c>
      <c r="AK148" s="7" t="s">
        <v>151</v>
      </c>
      <c r="AL148" s="7" t="s">
        <v>151</v>
      </c>
      <c r="AM148" s="7" t="s">
        <v>151</v>
      </c>
      <c r="AN148" s="7" t="s">
        <v>151</v>
      </c>
      <c r="AO148" s="7" t="s">
        <v>151</v>
      </c>
      <c r="AP148" s="7" t="s">
        <v>151</v>
      </c>
      <c r="AQ148" s="7" t="s">
        <v>151</v>
      </c>
      <c r="AR148" s="7" t="s">
        <v>151</v>
      </c>
      <c r="AS148" s="7" t="s">
        <v>151</v>
      </c>
      <c r="AT148" s="7" t="s">
        <v>151</v>
      </c>
      <c r="AU148" s="7" t="s">
        <v>151</v>
      </c>
      <c r="AV148" s="7" t="s">
        <v>151</v>
      </c>
      <c r="AW148" s="7" t="s">
        <v>151</v>
      </c>
      <c r="AX148" s="7" t="s">
        <v>151</v>
      </c>
      <c r="AY148" s="7" t="s">
        <v>151</v>
      </c>
      <c r="AZ148" s="7" t="s">
        <v>151</v>
      </c>
      <c r="BA148" s="7" t="s">
        <v>151</v>
      </c>
      <c r="BB148" s="7" t="s">
        <v>151</v>
      </c>
      <c r="BC148" s="7" t="s">
        <v>151</v>
      </c>
      <c r="BD148" s="7" t="s">
        <v>151</v>
      </c>
      <c r="BE148" s="7" t="s">
        <v>151</v>
      </c>
      <c r="BF148" s="7">
        <v>1</v>
      </c>
      <c r="BG148" s="7">
        <v>1</v>
      </c>
      <c r="BH148" s="7">
        <v>2</v>
      </c>
      <c r="BI148" s="7">
        <v>2</v>
      </c>
      <c r="BJ148" s="7" t="s">
        <v>151</v>
      </c>
      <c r="BK148" s="7" t="s">
        <v>151</v>
      </c>
      <c r="BL148" s="7" t="s">
        <v>151</v>
      </c>
      <c r="BM148" s="20" t="s">
        <v>151</v>
      </c>
    </row>
    <row r="149" spans="1:65" ht="12.75">
      <c r="A149" s="244">
        <v>5</v>
      </c>
      <c r="B149" s="7" t="s">
        <v>151</v>
      </c>
      <c r="C149" s="7" t="s">
        <v>151</v>
      </c>
      <c r="D149" s="7" t="s">
        <v>151</v>
      </c>
      <c r="E149" s="7" t="s">
        <v>151</v>
      </c>
      <c r="F149" s="7" t="s">
        <v>151</v>
      </c>
      <c r="G149" s="7" t="s">
        <v>151</v>
      </c>
      <c r="H149" s="7" t="s">
        <v>151</v>
      </c>
      <c r="I149" s="7" t="s">
        <v>151</v>
      </c>
      <c r="J149" s="7" t="s">
        <v>151</v>
      </c>
      <c r="K149" s="7" t="s">
        <v>151</v>
      </c>
      <c r="L149" s="7" t="s">
        <v>151</v>
      </c>
      <c r="M149" s="7" t="s">
        <v>151</v>
      </c>
      <c r="N149" s="7" t="s">
        <v>151</v>
      </c>
      <c r="O149" s="7" t="s">
        <v>151</v>
      </c>
      <c r="P149" s="7" t="s">
        <v>151</v>
      </c>
      <c r="Q149" s="7" t="s">
        <v>151</v>
      </c>
      <c r="R149" s="7" t="s">
        <v>151</v>
      </c>
      <c r="S149" s="7" t="s">
        <v>151</v>
      </c>
      <c r="T149" s="7" t="s">
        <v>151</v>
      </c>
      <c r="U149" s="7" t="s">
        <v>151</v>
      </c>
      <c r="V149" s="7" t="s">
        <v>151</v>
      </c>
      <c r="W149" s="7" t="s">
        <v>151</v>
      </c>
      <c r="X149" s="7" t="s">
        <v>151</v>
      </c>
      <c r="Y149" s="7" t="s">
        <v>151</v>
      </c>
      <c r="Z149" s="7" t="s">
        <v>151</v>
      </c>
      <c r="AA149" s="7" t="s">
        <v>151</v>
      </c>
      <c r="AB149" s="7" t="s">
        <v>151</v>
      </c>
      <c r="AC149" s="7" t="s">
        <v>151</v>
      </c>
      <c r="AD149" s="7" t="s">
        <v>151</v>
      </c>
      <c r="AE149" s="7" t="s">
        <v>151</v>
      </c>
      <c r="AF149" s="7" t="s">
        <v>151</v>
      </c>
      <c r="AG149" s="7" t="s">
        <v>151</v>
      </c>
      <c r="AH149" s="7" t="s">
        <v>151</v>
      </c>
      <c r="AI149" s="7" t="s">
        <v>151</v>
      </c>
      <c r="AJ149" s="7" t="s">
        <v>151</v>
      </c>
      <c r="AK149" s="7" t="s">
        <v>151</v>
      </c>
      <c r="AL149" s="7" t="s">
        <v>151</v>
      </c>
      <c r="AM149" s="7" t="s">
        <v>151</v>
      </c>
      <c r="AN149" s="7" t="s">
        <v>151</v>
      </c>
      <c r="AO149" s="7" t="s">
        <v>151</v>
      </c>
      <c r="AP149" s="7" t="s">
        <v>151</v>
      </c>
      <c r="AQ149" s="7" t="s">
        <v>151</v>
      </c>
      <c r="AR149" s="7" t="s">
        <v>151</v>
      </c>
      <c r="AS149" s="7" t="s">
        <v>151</v>
      </c>
      <c r="AT149" s="7" t="s">
        <v>151</v>
      </c>
      <c r="AU149" s="7" t="s">
        <v>151</v>
      </c>
      <c r="AV149" s="7" t="s">
        <v>151</v>
      </c>
      <c r="AW149" s="7" t="s">
        <v>151</v>
      </c>
      <c r="AX149" s="7">
        <v>1</v>
      </c>
      <c r="AY149" s="7">
        <v>1</v>
      </c>
      <c r="AZ149" s="7" t="s">
        <v>151</v>
      </c>
      <c r="BA149" s="7" t="s">
        <v>151</v>
      </c>
      <c r="BB149" s="7" t="s">
        <v>151</v>
      </c>
      <c r="BC149" s="7" t="s">
        <v>151</v>
      </c>
      <c r="BD149" s="7" t="s">
        <v>151</v>
      </c>
      <c r="BE149" s="7" t="s">
        <v>151</v>
      </c>
      <c r="BF149" s="7" t="s">
        <v>151</v>
      </c>
      <c r="BG149" s="7">
        <v>3</v>
      </c>
      <c r="BH149" s="7">
        <v>2</v>
      </c>
      <c r="BI149" s="7">
        <v>2</v>
      </c>
      <c r="BJ149" s="7" t="s">
        <v>151</v>
      </c>
      <c r="BK149" s="7" t="s">
        <v>151</v>
      </c>
      <c r="BL149" s="7" t="s">
        <v>151</v>
      </c>
      <c r="BM149" s="20" t="s">
        <v>151</v>
      </c>
    </row>
    <row r="150" spans="1:65" ht="12.75">
      <c r="A150" s="244">
        <v>6</v>
      </c>
      <c r="B150" s="7" t="s">
        <v>151</v>
      </c>
      <c r="C150" s="7" t="s">
        <v>151</v>
      </c>
      <c r="D150" s="7" t="s">
        <v>151</v>
      </c>
      <c r="E150" s="7" t="s">
        <v>151</v>
      </c>
      <c r="F150" s="7" t="s">
        <v>151</v>
      </c>
      <c r="G150" s="7" t="s">
        <v>151</v>
      </c>
      <c r="H150" s="7" t="s">
        <v>151</v>
      </c>
      <c r="I150" s="7" t="s">
        <v>151</v>
      </c>
      <c r="J150" s="7" t="s">
        <v>151</v>
      </c>
      <c r="K150" s="7" t="s">
        <v>151</v>
      </c>
      <c r="L150" s="7" t="s">
        <v>151</v>
      </c>
      <c r="M150" s="7" t="s">
        <v>151</v>
      </c>
      <c r="N150" s="7" t="s">
        <v>151</v>
      </c>
      <c r="O150" s="7" t="s">
        <v>151</v>
      </c>
      <c r="P150" s="7" t="s">
        <v>151</v>
      </c>
      <c r="Q150" s="7" t="s">
        <v>151</v>
      </c>
      <c r="R150" s="7" t="s">
        <v>151</v>
      </c>
      <c r="S150" s="7" t="s">
        <v>151</v>
      </c>
      <c r="T150" s="7" t="s">
        <v>151</v>
      </c>
      <c r="U150" s="7" t="s">
        <v>151</v>
      </c>
      <c r="V150" s="7" t="s">
        <v>151</v>
      </c>
      <c r="W150" s="7" t="s">
        <v>151</v>
      </c>
      <c r="X150" s="7" t="s">
        <v>151</v>
      </c>
      <c r="Y150" s="7" t="s">
        <v>151</v>
      </c>
      <c r="Z150" s="7" t="s">
        <v>151</v>
      </c>
      <c r="AA150" s="7" t="s">
        <v>151</v>
      </c>
      <c r="AB150" s="7" t="s">
        <v>151</v>
      </c>
      <c r="AC150" s="7" t="s">
        <v>151</v>
      </c>
      <c r="AD150" s="7" t="s">
        <v>151</v>
      </c>
      <c r="AE150" s="7" t="s">
        <v>151</v>
      </c>
      <c r="AF150" s="7" t="s">
        <v>151</v>
      </c>
      <c r="AG150" s="7" t="s">
        <v>151</v>
      </c>
      <c r="AH150" s="7" t="s">
        <v>151</v>
      </c>
      <c r="AI150" s="7" t="s">
        <v>151</v>
      </c>
      <c r="AJ150" s="7" t="s">
        <v>151</v>
      </c>
      <c r="AK150" s="7" t="s">
        <v>151</v>
      </c>
      <c r="AL150" s="7" t="s">
        <v>151</v>
      </c>
      <c r="AM150" s="7" t="s">
        <v>151</v>
      </c>
      <c r="AN150" s="7" t="s">
        <v>151</v>
      </c>
      <c r="AO150" s="7" t="s">
        <v>151</v>
      </c>
      <c r="AP150" s="7" t="s">
        <v>151</v>
      </c>
      <c r="AQ150" s="7" t="s">
        <v>151</v>
      </c>
      <c r="AR150" s="7" t="s">
        <v>151</v>
      </c>
      <c r="AS150" s="7" t="s">
        <v>151</v>
      </c>
      <c r="AT150" s="7" t="s">
        <v>151</v>
      </c>
      <c r="AU150" s="7" t="s">
        <v>151</v>
      </c>
      <c r="AV150" s="7" t="s">
        <v>151</v>
      </c>
      <c r="AW150" s="7" t="s">
        <v>151</v>
      </c>
      <c r="AX150" s="7">
        <v>1</v>
      </c>
      <c r="AY150" s="7">
        <v>1</v>
      </c>
      <c r="AZ150" s="7" t="s">
        <v>151</v>
      </c>
      <c r="BA150" s="7" t="s">
        <v>151</v>
      </c>
      <c r="BB150" s="7">
        <v>2</v>
      </c>
      <c r="BC150" s="7">
        <v>2</v>
      </c>
      <c r="BD150" s="7" t="s">
        <v>151</v>
      </c>
      <c r="BE150" s="7" t="s">
        <v>151</v>
      </c>
      <c r="BF150" s="7" t="s">
        <v>151</v>
      </c>
      <c r="BG150" s="7">
        <v>3</v>
      </c>
      <c r="BH150" s="7" t="s">
        <v>151</v>
      </c>
      <c r="BI150" s="7">
        <v>4</v>
      </c>
      <c r="BJ150" s="7" t="s">
        <v>151</v>
      </c>
      <c r="BK150" s="7" t="s">
        <v>151</v>
      </c>
      <c r="BL150" s="7" t="s">
        <v>151</v>
      </c>
      <c r="BM150" s="20" t="s">
        <v>151</v>
      </c>
    </row>
    <row r="151" spans="1:65" ht="12.75">
      <c r="A151" s="244">
        <v>7</v>
      </c>
      <c r="B151" s="7" t="s">
        <v>151</v>
      </c>
      <c r="C151" s="7" t="s">
        <v>151</v>
      </c>
      <c r="D151" s="7" t="s">
        <v>151</v>
      </c>
      <c r="E151" s="7" t="s">
        <v>151</v>
      </c>
      <c r="F151" s="7" t="s">
        <v>151</v>
      </c>
      <c r="G151" s="7" t="s">
        <v>151</v>
      </c>
      <c r="H151" s="7" t="s">
        <v>151</v>
      </c>
      <c r="I151" s="7" t="s">
        <v>151</v>
      </c>
      <c r="J151" s="7" t="s">
        <v>151</v>
      </c>
      <c r="K151" s="7" t="s">
        <v>151</v>
      </c>
      <c r="L151" s="7" t="s">
        <v>151</v>
      </c>
      <c r="M151" s="7" t="s">
        <v>151</v>
      </c>
      <c r="N151" s="7" t="s">
        <v>151</v>
      </c>
      <c r="O151" s="7" t="s">
        <v>151</v>
      </c>
      <c r="P151" s="7" t="s">
        <v>151</v>
      </c>
      <c r="Q151" s="7" t="s">
        <v>151</v>
      </c>
      <c r="R151" s="7" t="s">
        <v>151</v>
      </c>
      <c r="S151" s="7" t="s">
        <v>151</v>
      </c>
      <c r="T151" s="7" t="s">
        <v>151</v>
      </c>
      <c r="U151" s="7" t="s">
        <v>151</v>
      </c>
      <c r="V151" s="7" t="s">
        <v>151</v>
      </c>
      <c r="W151" s="7" t="s">
        <v>151</v>
      </c>
      <c r="X151" s="7" t="s">
        <v>151</v>
      </c>
      <c r="Y151" s="7" t="s">
        <v>151</v>
      </c>
      <c r="Z151" s="7" t="s">
        <v>151</v>
      </c>
      <c r="AA151" s="7" t="s">
        <v>151</v>
      </c>
      <c r="AB151" s="7" t="s">
        <v>151</v>
      </c>
      <c r="AC151" s="7" t="s">
        <v>151</v>
      </c>
      <c r="AD151" s="7" t="s">
        <v>151</v>
      </c>
      <c r="AE151" s="7" t="s">
        <v>151</v>
      </c>
      <c r="AF151" s="7" t="s">
        <v>151</v>
      </c>
      <c r="AG151" s="7" t="s">
        <v>151</v>
      </c>
      <c r="AH151" s="7" t="s">
        <v>151</v>
      </c>
      <c r="AI151" s="7" t="s">
        <v>151</v>
      </c>
      <c r="AJ151" s="7" t="s">
        <v>151</v>
      </c>
      <c r="AK151" s="7" t="s">
        <v>151</v>
      </c>
      <c r="AL151" s="7" t="s">
        <v>151</v>
      </c>
      <c r="AM151" s="7" t="s">
        <v>151</v>
      </c>
      <c r="AN151" s="7" t="s">
        <v>151</v>
      </c>
      <c r="AO151" s="7" t="s">
        <v>151</v>
      </c>
      <c r="AP151" s="7" t="s">
        <v>151</v>
      </c>
      <c r="AQ151" s="7" t="s">
        <v>151</v>
      </c>
      <c r="AR151" s="7" t="s">
        <v>151</v>
      </c>
      <c r="AS151" s="7" t="s">
        <v>151</v>
      </c>
      <c r="AT151" s="7" t="s">
        <v>151</v>
      </c>
      <c r="AU151" s="7" t="s">
        <v>151</v>
      </c>
      <c r="AV151" s="7" t="s">
        <v>151</v>
      </c>
      <c r="AW151" s="7" t="s">
        <v>151</v>
      </c>
      <c r="AX151" s="7">
        <v>1</v>
      </c>
      <c r="AY151" s="7">
        <v>1</v>
      </c>
      <c r="AZ151" s="7">
        <v>2</v>
      </c>
      <c r="BA151" s="7">
        <v>2</v>
      </c>
      <c r="BB151" s="7">
        <v>3</v>
      </c>
      <c r="BC151" s="7">
        <v>3</v>
      </c>
      <c r="BD151" s="7" t="s">
        <v>151</v>
      </c>
      <c r="BE151" s="7" t="s">
        <v>151</v>
      </c>
      <c r="BF151" s="7">
        <v>5</v>
      </c>
      <c r="BG151" s="7">
        <v>5</v>
      </c>
      <c r="BH151" s="7" t="s">
        <v>151</v>
      </c>
      <c r="BI151" s="7">
        <v>4</v>
      </c>
      <c r="BJ151" s="7" t="s">
        <v>151</v>
      </c>
      <c r="BK151" s="7" t="s">
        <v>151</v>
      </c>
      <c r="BL151" s="7" t="s">
        <v>151</v>
      </c>
      <c r="BM151" s="20" t="s">
        <v>151</v>
      </c>
    </row>
    <row r="152" spans="1:65" ht="12.75">
      <c r="A152" s="244">
        <v>8</v>
      </c>
      <c r="B152" s="7" t="s">
        <v>151</v>
      </c>
      <c r="C152" s="7" t="s">
        <v>151</v>
      </c>
      <c r="D152" s="7" t="s">
        <v>151</v>
      </c>
      <c r="E152" s="7" t="s">
        <v>151</v>
      </c>
      <c r="F152" s="7" t="s">
        <v>151</v>
      </c>
      <c r="G152" s="7" t="s">
        <v>151</v>
      </c>
      <c r="H152" s="7" t="s">
        <v>151</v>
      </c>
      <c r="I152" s="7" t="s">
        <v>151</v>
      </c>
      <c r="J152" s="7" t="s">
        <v>151</v>
      </c>
      <c r="K152" s="7" t="s">
        <v>151</v>
      </c>
      <c r="L152" s="7" t="s">
        <v>151</v>
      </c>
      <c r="M152" s="7" t="s">
        <v>151</v>
      </c>
      <c r="N152" s="7" t="s">
        <v>151</v>
      </c>
      <c r="O152" s="7" t="s">
        <v>151</v>
      </c>
      <c r="P152" s="7" t="s">
        <v>151</v>
      </c>
      <c r="Q152" s="7" t="s">
        <v>151</v>
      </c>
      <c r="R152" s="7" t="s">
        <v>151</v>
      </c>
      <c r="S152" s="7" t="s">
        <v>151</v>
      </c>
      <c r="T152" s="7" t="s">
        <v>151</v>
      </c>
      <c r="U152" s="7" t="s">
        <v>151</v>
      </c>
      <c r="V152" s="7" t="s">
        <v>151</v>
      </c>
      <c r="W152" s="7" t="s">
        <v>151</v>
      </c>
      <c r="X152" s="7" t="s">
        <v>151</v>
      </c>
      <c r="Y152" s="7" t="s">
        <v>151</v>
      </c>
      <c r="Z152" s="7" t="s">
        <v>151</v>
      </c>
      <c r="AA152" s="7" t="s">
        <v>151</v>
      </c>
      <c r="AB152" s="7" t="s">
        <v>151</v>
      </c>
      <c r="AC152" s="7" t="s">
        <v>151</v>
      </c>
      <c r="AD152" s="7" t="s">
        <v>151</v>
      </c>
      <c r="AE152" s="7" t="s">
        <v>151</v>
      </c>
      <c r="AF152" s="7" t="s">
        <v>151</v>
      </c>
      <c r="AG152" s="7" t="s">
        <v>151</v>
      </c>
      <c r="AH152" s="7" t="s">
        <v>151</v>
      </c>
      <c r="AI152" s="7" t="s">
        <v>151</v>
      </c>
      <c r="AJ152" s="7" t="s">
        <v>151</v>
      </c>
      <c r="AK152" s="7" t="s">
        <v>151</v>
      </c>
      <c r="AL152" s="7" t="s">
        <v>151</v>
      </c>
      <c r="AM152" s="7" t="s">
        <v>151</v>
      </c>
      <c r="AN152" s="7" t="s">
        <v>151</v>
      </c>
      <c r="AO152" s="7" t="s">
        <v>151</v>
      </c>
      <c r="AP152" s="7" t="s">
        <v>151</v>
      </c>
      <c r="AQ152" s="7" t="s">
        <v>151</v>
      </c>
      <c r="AR152" s="7" t="s">
        <v>151</v>
      </c>
      <c r="AS152" s="7" t="s">
        <v>151</v>
      </c>
      <c r="AT152" s="7" t="s">
        <v>151</v>
      </c>
      <c r="AU152" s="7" t="s">
        <v>151</v>
      </c>
      <c r="AV152" s="7" t="s">
        <v>151</v>
      </c>
      <c r="AW152" s="7" t="s">
        <v>151</v>
      </c>
      <c r="AX152" s="7">
        <v>1</v>
      </c>
      <c r="AY152" s="7">
        <v>1</v>
      </c>
      <c r="AZ152" s="7">
        <v>2</v>
      </c>
      <c r="BA152" s="7">
        <v>2</v>
      </c>
      <c r="BB152" s="7">
        <v>3</v>
      </c>
      <c r="BC152" s="7">
        <v>3</v>
      </c>
      <c r="BD152" s="7">
        <v>4</v>
      </c>
      <c r="BE152" s="7">
        <v>4</v>
      </c>
      <c r="BF152" s="7">
        <v>5</v>
      </c>
      <c r="BG152" s="7">
        <v>5</v>
      </c>
      <c r="BH152" s="7">
        <v>6</v>
      </c>
      <c r="BI152" s="7">
        <v>6</v>
      </c>
      <c r="BJ152" s="7" t="s">
        <v>151</v>
      </c>
      <c r="BK152" s="7" t="s">
        <v>151</v>
      </c>
      <c r="BL152" s="7" t="s">
        <v>151</v>
      </c>
      <c r="BM152" s="20" t="s">
        <v>151</v>
      </c>
    </row>
    <row r="153" spans="1:65" ht="12.75">
      <c r="A153" s="244">
        <v>9</v>
      </c>
      <c r="B153" s="7" t="s">
        <v>151</v>
      </c>
      <c r="C153" s="7" t="s">
        <v>151</v>
      </c>
      <c r="D153" s="7" t="s">
        <v>151</v>
      </c>
      <c r="E153" s="7" t="s">
        <v>151</v>
      </c>
      <c r="F153" s="7" t="s">
        <v>151</v>
      </c>
      <c r="G153" s="7" t="s">
        <v>151</v>
      </c>
      <c r="H153" s="7" t="s">
        <v>151</v>
      </c>
      <c r="I153" s="7" t="s">
        <v>151</v>
      </c>
      <c r="J153" s="7" t="s">
        <v>151</v>
      </c>
      <c r="K153" s="7" t="s">
        <v>151</v>
      </c>
      <c r="L153" s="7" t="s">
        <v>151</v>
      </c>
      <c r="M153" s="7" t="s">
        <v>151</v>
      </c>
      <c r="N153" s="7" t="s">
        <v>151</v>
      </c>
      <c r="O153" s="7" t="s">
        <v>151</v>
      </c>
      <c r="P153" s="7" t="s">
        <v>151</v>
      </c>
      <c r="Q153" s="7" t="s">
        <v>151</v>
      </c>
      <c r="R153" s="7" t="s">
        <v>151</v>
      </c>
      <c r="S153" s="7" t="s">
        <v>151</v>
      </c>
      <c r="T153" s="7" t="s">
        <v>151</v>
      </c>
      <c r="U153" s="7" t="s">
        <v>151</v>
      </c>
      <c r="V153" s="7" t="s">
        <v>151</v>
      </c>
      <c r="W153" s="7" t="s">
        <v>151</v>
      </c>
      <c r="X153" s="7" t="s">
        <v>151</v>
      </c>
      <c r="Y153" s="7" t="s">
        <v>151</v>
      </c>
      <c r="Z153" s="7" t="s">
        <v>151</v>
      </c>
      <c r="AA153" s="7" t="s">
        <v>151</v>
      </c>
      <c r="AB153" s="7" t="s">
        <v>151</v>
      </c>
      <c r="AC153" s="7" t="s">
        <v>151</v>
      </c>
      <c r="AD153" s="7" t="s">
        <v>151</v>
      </c>
      <c r="AE153" s="7" t="s">
        <v>151</v>
      </c>
      <c r="AF153" s="7" t="s">
        <v>151</v>
      </c>
      <c r="AG153" s="7" t="s">
        <v>151</v>
      </c>
      <c r="AH153" s="7">
        <v>1</v>
      </c>
      <c r="AI153" s="7">
        <v>1</v>
      </c>
      <c r="AJ153" s="7" t="s">
        <v>151</v>
      </c>
      <c r="AK153" s="7" t="s">
        <v>151</v>
      </c>
      <c r="AL153" s="7" t="s">
        <v>151</v>
      </c>
      <c r="AM153" s="7" t="s">
        <v>151</v>
      </c>
      <c r="AN153" s="7" t="s">
        <v>151</v>
      </c>
      <c r="AO153" s="7" t="s">
        <v>151</v>
      </c>
      <c r="AP153" s="7" t="s">
        <v>151</v>
      </c>
      <c r="AQ153" s="7" t="s">
        <v>151</v>
      </c>
      <c r="AR153" s="7" t="s">
        <v>151</v>
      </c>
      <c r="AS153" s="7" t="s">
        <v>151</v>
      </c>
      <c r="AT153" s="7" t="s">
        <v>151</v>
      </c>
      <c r="AU153" s="7" t="s">
        <v>151</v>
      </c>
      <c r="AV153" s="7" t="s">
        <v>151</v>
      </c>
      <c r="AW153" s="7" t="s">
        <v>151</v>
      </c>
      <c r="AX153" s="7" t="s">
        <v>151</v>
      </c>
      <c r="AY153" s="7">
        <v>4</v>
      </c>
      <c r="AZ153" s="7">
        <v>5</v>
      </c>
      <c r="BA153" s="7">
        <v>5</v>
      </c>
      <c r="BB153" s="7">
        <v>2</v>
      </c>
      <c r="BC153" s="7">
        <v>2</v>
      </c>
      <c r="BD153" s="7">
        <v>3</v>
      </c>
      <c r="BE153" s="7">
        <v>3</v>
      </c>
      <c r="BF153" s="7">
        <v>7</v>
      </c>
      <c r="BG153" s="7">
        <v>7</v>
      </c>
      <c r="BH153" s="7">
        <v>6</v>
      </c>
      <c r="BI153" s="7">
        <v>6</v>
      </c>
      <c r="BJ153" s="7" t="s">
        <v>151</v>
      </c>
      <c r="BK153" s="7" t="s">
        <v>151</v>
      </c>
      <c r="BL153" s="7" t="s">
        <v>151</v>
      </c>
      <c r="BM153" s="20" t="s">
        <v>151</v>
      </c>
    </row>
    <row r="154" spans="1:65" ht="12.75">
      <c r="A154" s="244">
        <v>10</v>
      </c>
      <c r="B154" s="7" t="s">
        <v>151</v>
      </c>
      <c r="C154" s="7" t="s">
        <v>151</v>
      </c>
      <c r="D154" s="7" t="s">
        <v>151</v>
      </c>
      <c r="E154" s="7" t="s">
        <v>151</v>
      </c>
      <c r="F154" s="7" t="s">
        <v>151</v>
      </c>
      <c r="G154" s="7" t="s">
        <v>151</v>
      </c>
      <c r="H154" s="7" t="s">
        <v>151</v>
      </c>
      <c r="I154" s="7" t="s">
        <v>151</v>
      </c>
      <c r="J154" s="7" t="s">
        <v>151</v>
      </c>
      <c r="K154" s="7" t="s">
        <v>151</v>
      </c>
      <c r="L154" s="7" t="s">
        <v>151</v>
      </c>
      <c r="M154" s="7" t="s">
        <v>151</v>
      </c>
      <c r="N154" s="7" t="s">
        <v>151</v>
      </c>
      <c r="O154" s="7" t="s">
        <v>151</v>
      </c>
      <c r="P154" s="7" t="s">
        <v>151</v>
      </c>
      <c r="Q154" s="7" t="s">
        <v>151</v>
      </c>
      <c r="R154" s="7" t="s">
        <v>151</v>
      </c>
      <c r="S154" s="7" t="s">
        <v>151</v>
      </c>
      <c r="T154" s="7" t="s">
        <v>151</v>
      </c>
      <c r="U154" s="7" t="s">
        <v>151</v>
      </c>
      <c r="V154" s="7" t="s">
        <v>151</v>
      </c>
      <c r="W154" s="7" t="s">
        <v>151</v>
      </c>
      <c r="X154" s="7" t="s">
        <v>151</v>
      </c>
      <c r="Y154" s="7" t="s">
        <v>151</v>
      </c>
      <c r="Z154" s="7" t="s">
        <v>151</v>
      </c>
      <c r="AA154" s="7" t="s">
        <v>151</v>
      </c>
      <c r="AB154" s="7" t="s">
        <v>151</v>
      </c>
      <c r="AC154" s="7" t="s">
        <v>151</v>
      </c>
      <c r="AD154" s="7" t="s">
        <v>151</v>
      </c>
      <c r="AE154" s="7" t="s">
        <v>151</v>
      </c>
      <c r="AF154" s="7" t="s">
        <v>151</v>
      </c>
      <c r="AG154" s="7" t="s">
        <v>151</v>
      </c>
      <c r="AH154" s="7">
        <v>1</v>
      </c>
      <c r="AI154" s="7">
        <v>1</v>
      </c>
      <c r="AJ154" s="7" t="s">
        <v>151</v>
      </c>
      <c r="AK154" s="7" t="s">
        <v>151</v>
      </c>
      <c r="AL154" s="7" t="s">
        <v>151</v>
      </c>
      <c r="AM154" s="7" t="s">
        <v>151</v>
      </c>
      <c r="AN154" s="7" t="s">
        <v>151</v>
      </c>
      <c r="AO154" s="7" t="s">
        <v>151</v>
      </c>
      <c r="AP154" s="7">
        <v>2</v>
      </c>
      <c r="AQ154" s="7">
        <v>2</v>
      </c>
      <c r="AR154" s="7" t="s">
        <v>151</v>
      </c>
      <c r="AS154" s="7" t="s">
        <v>151</v>
      </c>
      <c r="AT154" s="7" t="s">
        <v>151</v>
      </c>
      <c r="AU154" s="7" t="s">
        <v>151</v>
      </c>
      <c r="AV154" s="7" t="s">
        <v>151</v>
      </c>
      <c r="AW154" s="7" t="s">
        <v>151</v>
      </c>
      <c r="AX154" s="7" t="s">
        <v>151</v>
      </c>
      <c r="AY154" s="7">
        <v>3</v>
      </c>
      <c r="AZ154" s="7">
        <v>4</v>
      </c>
      <c r="BA154" s="7">
        <v>4</v>
      </c>
      <c r="BB154" s="7" t="s">
        <v>151</v>
      </c>
      <c r="BC154" s="7">
        <v>5</v>
      </c>
      <c r="BD154" s="7">
        <v>6</v>
      </c>
      <c r="BE154" s="7">
        <v>6</v>
      </c>
      <c r="BF154" s="7">
        <v>7</v>
      </c>
      <c r="BG154" s="7">
        <v>7</v>
      </c>
      <c r="BH154" s="7">
        <v>8</v>
      </c>
      <c r="BI154" s="7">
        <v>8</v>
      </c>
      <c r="BJ154" s="7" t="s">
        <v>151</v>
      </c>
      <c r="BK154" s="7" t="s">
        <v>151</v>
      </c>
      <c r="BL154" s="7" t="s">
        <v>151</v>
      </c>
      <c r="BM154" s="20" t="s">
        <v>151</v>
      </c>
    </row>
    <row r="155" spans="1:65" ht="12.75">
      <c r="A155" s="244">
        <v>11</v>
      </c>
      <c r="B155" s="7" t="s">
        <v>151</v>
      </c>
      <c r="C155" s="7" t="s">
        <v>151</v>
      </c>
      <c r="D155" s="7" t="s">
        <v>151</v>
      </c>
      <c r="E155" s="7" t="s">
        <v>151</v>
      </c>
      <c r="F155" s="7" t="s">
        <v>151</v>
      </c>
      <c r="G155" s="7" t="s">
        <v>151</v>
      </c>
      <c r="H155" s="7" t="s">
        <v>151</v>
      </c>
      <c r="I155" s="7" t="s">
        <v>151</v>
      </c>
      <c r="J155" s="7" t="s">
        <v>151</v>
      </c>
      <c r="K155" s="7" t="s">
        <v>151</v>
      </c>
      <c r="L155" s="7" t="s">
        <v>151</v>
      </c>
      <c r="M155" s="7" t="s">
        <v>151</v>
      </c>
      <c r="N155" s="7" t="s">
        <v>151</v>
      </c>
      <c r="O155" s="7" t="s">
        <v>151</v>
      </c>
      <c r="P155" s="7" t="s">
        <v>151</v>
      </c>
      <c r="Q155" s="7" t="s">
        <v>151</v>
      </c>
      <c r="R155" s="7" t="s">
        <v>151</v>
      </c>
      <c r="S155" s="7" t="s">
        <v>151</v>
      </c>
      <c r="T155" s="7" t="s">
        <v>151</v>
      </c>
      <c r="U155" s="7" t="s">
        <v>151</v>
      </c>
      <c r="V155" s="7" t="s">
        <v>151</v>
      </c>
      <c r="W155" s="7" t="s">
        <v>151</v>
      </c>
      <c r="X155" s="7" t="s">
        <v>151</v>
      </c>
      <c r="Y155" s="7" t="s">
        <v>151</v>
      </c>
      <c r="Z155" s="7" t="s">
        <v>151</v>
      </c>
      <c r="AA155" s="7" t="s">
        <v>151</v>
      </c>
      <c r="AB155" s="7" t="s">
        <v>151</v>
      </c>
      <c r="AC155" s="7" t="s">
        <v>151</v>
      </c>
      <c r="AD155" s="7" t="s">
        <v>151</v>
      </c>
      <c r="AE155" s="7" t="s">
        <v>151</v>
      </c>
      <c r="AF155" s="7" t="s">
        <v>151</v>
      </c>
      <c r="AG155" s="7" t="s">
        <v>151</v>
      </c>
      <c r="AH155" s="7">
        <v>1</v>
      </c>
      <c r="AI155" s="7">
        <v>1</v>
      </c>
      <c r="AJ155" s="7" t="s">
        <v>151</v>
      </c>
      <c r="AK155" s="7" t="s">
        <v>151</v>
      </c>
      <c r="AL155" s="7">
        <v>2</v>
      </c>
      <c r="AM155" s="7">
        <v>2</v>
      </c>
      <c r="AN155" s="7" t="s">
        <v>151</v>
      </c>
      <c r="AO155" s="7" t="s">
        <v>151</v>
      </c>
      <c r="AP155" s="7">
        <v>3</v>
      </c>
      <c r="AQ155" s="7">
        <v>3</v>
      </c>
      <c r="AR155" s="7" t="s">
        <v>151</v>
      </c>
      <c r="AS155" s="7" t="s">
        <v>151</v>
      </c>
      <c r="AT155" s="7" t="s">
        <v>151</v>
      </c>
      <c r="AU155" s="7" t="s">
        <v>151</v>
      </c>
      <c r="AV155" s="7" t="s">
        <v>151</v>
      </c>
      <c r="AW155" s="7" t="s">
        <v>151</v>
      </c>
      <c r="AX155" s="7" t="s">
        <v>151</v>
      </c>
      <c r="AY155" s="7">
        <v>4</v>
      </c>
      <c r="AZ155" s="7" t="s">
        <v>151</v>
      </c>
      <c r="BA155" s="7">
        <v>5</v>
      </c>
      <c r="BB155" s="7" t="s">
        <v>151</v>
      </c>
      <c r="BC155" s="7">
        <v>6</v>
      </c>
      <c r="BD155" s="7">
        <v>7</v>
      </c>
      <c r="BE155" s="7">
        <v>7</v>
      </c>
      <c r="BF155" s="7">
        <v>8</v>
      </c>
      <c r="BG155" s="7">
        <v>8</v>
      </c>
      <c r="BH155" s="7">
        <v>9</v>
      </c>
      <c r="BI155" s="7">
        <v>9</v>
      </c>
      <c r="BJ155" s="7" t="s">
        <v>151</v>
      </c>
      <c r="BK155" s="7" t="s">
        <v>151</v>
      </c>
      <c r="BL155" s="7" t="s">
        <v>151</v>
      </c>
      <c r="BM155" s="20" t="s">
        <v>151</v>
      </c>
    </row>
    <row r="156" spans="1:65" ht="12.75">
      <c r="A156" s="244">
        <v>12</v>
      </c>
      <c r="B156" s="7" t="s">
        <v>151</v>
      </c>
      <c r="C156" s="7" t="s">
        <v>151</v>
      </c>
      <c r="D156" s="7" t="s">
        <v>151</v>
      </c>
      <c r="E156" s="7" t="s">
        <v>151</v>
      </c>
      <c r="F156" s="7" t="s">
        <v>151</v>
      </c>
      <c r="G156" s="7" t="s">
        <v>151</v>
      </c>
      <c r="H156" s="7" t="s">
        <v>151</v>
      </c>
      <c r="I156" s="7" t="s">
        <v>151</v>
      </c>
      <c r="J156" s="7" t="s">
        <v>151</v>
      </c>
      <c r="K156" s="7" t="s">
        <v>151</v>
      </c>
      <c r="L156" s="7" t="s">
        <v>151</v>
      </c>
      <c r="M156" s="7" t="s">
        <v>151</v>
      </c>
      <c r="N156" s="7" t="s">
        <v>151</v>
      </c>
      <c r="O156" s="7" t="s">
        <v>151</v>
      </c>
      <c r="P156" s="7" t="s">
        <v>151</v>
      </c>
      <c r="Q156" s="7" t="s">
        <v>151</v>
      </c>
      <c r="R156" s="7" t="s">
        <v>151</v>
      </c>
      <c r="S156" s="7" t="s">
        <v>151</v>
      </c>
      <c r="T156" s="7" t="s">
        <v>151</v>
      </c>
      <c r="U156" s="7" t="s">
        <v>151</v>
      </c>
      <c r="V156" s="7" t="s">
        <v>151</v>
      </c>
      <c r="W156" s="7" t="s">
        <v>151</v>
      </c>
      <c r="X156" s="7" t="s">
        <v>151</v>
      </c>
      <c r="Y156" s="7" t="s">
        <v>151</v>
      </c>
      <c r="Z156" s="7" t="s">
        <v>151</v>
      </c>
      <c r="AA156" s="7" t="s">
        <v>151</v>
      </c>
      <c r="AB156" s="7" t="s">
        <v>151</v>
      </c>
      <c r="AC156" s="7" t="s">
        <v>151</v>
      </c>
      <c r="AD156" s="7" t="s">
        <v>151</v>
      </c>
      <c r="AE156" s="7" t="s">
        <v>151</v>
      </c>
      <c r="AF156" s="7" t="s">
        <v>151</v>
      </c>
      <c r="AG156" s="7" t="s">
        <v>151</v>
      </c>
      <c r="AH156" s="7">
        <v>1</v>
      </c>
      <c r="AI156" s="7">
        <v>1</v>
      </c>
      <c r="AJ156" s="7" t="s">
        <v>151</v>
      </c>
      <c r="AK156" s="7" t="s">
        <v>151</v>
      </c>
      <c r="AL156" s="7">
        <v>2</v>
      </c>
      <c r="AM156" s="7">
        <v>2</v>
      </c>
      <c r="AN156" s="7" t="s">
        <v>151</v>
      </c>
      <c r="AO156" s="7" t="s">
        <v>151</v>
      </c>
      <c r="AP156" s="7">
        <v>3</v>
      </c>
      <c r="AQ156" s="7">
        <v>3</v>
      </c>
      <c r="AR156" s="7" t="s">
        <v>151</v>
      </c>
      <c r="AS156" s="7" t="s">
        <v>151</v>
      </c>
      <c r="AT156" s="7">
        <v>4</v>
      </c>
      <c r="AU156" s="7">
        <v>4</v>
      </c>
      <c r="AV156" s="7" t="s">
        <v>151</v>
      </c>
      <c r="AW156" s="7" t="s">
        <v>151</v>
      </c>
      <c r="AX156" s="7" t="s">
        <v>151</v>
      </c>
      <c r="AY156" s="7">
        <v>5</v>
      </c>
      <c r="AZ156" s="7" t="s">
        <v>151</v>
      </c>
      <c r="BA156" s="7">
        <v>6</v>
      </c>
      <c r="BB156" s="7" t="s">
        <v>151</v>
      </c>
      <c r="BC156" s="7">
        <v>7</v>
      </c>
      <c r="BD156" s="7" t="s">
        <v>151</v>
      </c>
      <c r="BE156" s="7">
        <v>8</v>
      </c>
      <c r="BF156" s="7">
        <v>9</v>
      </c>
      <c r="BG156" s="7">
        <v>9</v>
      </c>
      <c r="BH156" s="7">
        <v>10</v>
      </c>
      <c r="BI156" s="7">
        <v>10</v>
      </c>
      <c r="BJ156" s="7" t="s">
        <v>151</v>
      </c>
      <c r="BK156" s="7" t="s">
        <v>151</v>
      </c>
      <c r="BL156" s="7" t="s">
        <v>151</v>
      </c>
      <c r="BM156" s="20" t="s">
        <v>151</v>
      </c>
    </row>
    <row r="157" spans="1:65" ht="12.75">
      <c r="A157" s="244">
        <v>13</v>
      </c>
      <c r="B157" s="7" t="s">
        <v>151</v>
      </c>
      <c r="C157" s="7" t="s">
        <v>151</v>
      </c>
      <c r="D157" s="7" t="s">
        <v>151</v>
      </c>
      <c r="E157" s="7" t="s">
        <v>151</v>
      </c>
      <c r="F157" s="7" t="s">
        <v>151</v>
      </c>
      <c r="G157" s="7" t="s">
        <v>151</v>
      </c>
      <c r="H157" s="7" t="s">
        <v>151</v>
      </c>
      <c r="I157" s="7" t="s">
        <v>151</v>
      </c>
      <c r="J157" s="7" t="s">
        <v>151</v>
      </c>
      <c r="K157" s="7" t="s">
        <v>151</v>
      </c>
      <c r="L157" s="7" t="s">
        <v>151</v>
      </c>
      <c r="M157" s="7" t="s">
        <v>151</v>
      </c>
      <c r="N157" s="7" t="s">
        <v>151</v>
      </c>
      <c r="O157" s="7" t="s">
        <v>151</v>
      </c>
      <c r="P157" s="7" t="s">
        <v>151</v>
      </c>
      <c r="Q157" s="7" t="s">
        <v>151</v>
      </c>
      <c r="R157" s="7" t="s">
        <v>151</v>
      </c>
      <c r="S157" s="7" t="s">
        <v>151</v>
      </c>
      <c r="T157" s="7" t="s">
        <v>151</v>
      </c>
      <c r="U157" s="7" t="s">
        <v>151</v>
      </c>
      <c r="V157" s="7" t="s">
        <v>151</v>
      </c>
      <c r="W157" s="7" t="s">
        <v>151</v>
      </c>
      <c r="X157" s="7" t="s">
        <v>151</v>
      </c>
      <c r="Y157" s="7" t="s">
        <v>151</v>
      </c>
      <c r="Z157" s="7" t="s">
        <v>151</v>
      </c>
      <c r="AA157" s="7" t="s">
        <v>151</v>
      </c>
      <c r="AB157" s="7" t="s">
        <v>151</v>
      </c>
      <c r="AC157" s="7" t="s">
        <v>151</v>
      </c>
      <c r="AD157" s="7" t="s">
        <v>151</v>
      </c>
      <c r="AE157" s="7" t="s">
        <v>151</v>
      </c>
      <c r="AF157" s="7" t="s">
        <v>151</v>
      </c>
      <c r="AG157" s="7" t="s">
        <v>151</v>
      </c>
      <c r="AH157" s="7">
        <v>1</v>
      </c>
      <c r="AI157" s="7">
        <v>1</v>
      </c>
      <c r="AJ157" s="7" t="s">
        <v>151</v>
      </c>
      <c r="AK157" s="7" t="s">
        <v>151</v>
      </c>
      <c r="AL157" s="7">
        <v>2</v>
      </c>
      <c r="AM157" s="7">
        <v>2</v>
      </c>
      <c r="AN157" s="7" t="s">
        <v>151</v>
      </c>
      <c r="AO157" s="7" t="s">
        <v>151</v>
      </c>
      <c r="AP157" s="7">
        <v>3</v>
      </c>
      <c r="AQ157" s="7">
        <v>3</v>
      </c>
      <c r="AR157" s="7" t="s">
        <v>151</v>
      </c>
      <c r="AS157" s="7" t="s">
        <v>151</v>
      </c>
      <c r="AT157" s="7">
        <v>4</v>
      </c>
      <c r="AU157" s="7">
        <v>4</v>
      </c>
      <c r="AV157" s="7">
        <v>5</v>
      </c>
      <c r="AW157" s="7">
        <v>5</v>
      </c>
      <c r="AX157" s="7" t="s">
        <v>151</v>
      </c>
      <c r="AY157" s="7">
        <v>6</v>
      </c>
      <c r="AZ157" s="7" t="s">
        <v>151</v>
      </c>
      <c r="BA157" s="7">
        <v>7</v>
      </c>
      <c r="BB157" s="7" t="s">
        <v>151</v>
      </c>
      <c r="BC157" s="7">
        <v>8</v>
      </c>
      <c r="BD157" s="7" t="s">
        <v>151</v>
      </c>
      <c r="BE157" s="7">
        <v>9</v>
      </c>
      <c r="BF157" s="7">
        <v>10</v>
      </c>
      <c r="BG157" s="7">
        <v>10</v>
      </c>
      <c r="BH157" s="7">
        <v>11</v>
      </c>
      <c r="BI157" s="7">
        <v>11</v>
      </c>
      <c r="BJ157" s="7" t="s">
        <v>151</v>
      </c>
      <c r="BK157" s="7" t="s">
        <v>151</v>
      </c>
      <c r="BL157" s="7" t="s">
        <v>151</v>
      </c>
      <c r="BM157" s="20" t="s">
        <v>151</v>
      </c>
    </row>
    <row r="158" spans="1:65" ht="12.75">
      <c r="A158" s="244">
        <v>14</v>
      </c>
      <c r="B158" s="7" t="s">
        <v>151</v>
      </c>
      <c r="C158" s="7" t="s">
        <v>151</v>
      </c>
      <c r="D158" s="7" t="s">
        <v>151</v>
      </c>
      <c r="E158" s="7" t="s">
        <v>151</v>
      </c>
      <c r="F158" s="7" t="s">
        <v>151</v>
      </c>
      <c r="G158" s="7" t="s">
        <v>151</v>
      </c>
      <c r="H158" s="7" t="s">
        <v>151</v>
      </c>
      <c r="I158" s="7" t="s">
        <v>151</v>
      </c>
      <c r="J158" s="7" t="s">
        <v>151</v>
      </c>
      <c r="K158" s="7" t="s">
        <v>151</v>
      </c>
      <c r="L158" s="7" t="s">
        <v>151</v>
      </c>
      <c r="M158" s="7" t="s">
        <v>151</v>
      </c>
      <c r="N158" s="7" t="s">
        <v>151</v>
      </c>
      <c r="O158" s="7" t="s">
        <v>151</v>
      </c>
      <c r="P158" s="7" t="s">
        <v>151</v>
      </c>
      <c r="Q158" s="7" t="s">
        <v>151</v>
      </c>
      <c r="R158" s="7" t="s">
        <v>151</v>
      </c>
      <c r="S158" s="7" t="s">
        <v>151</v>
      </c>
      <c r="T158" s="7" t="s">
        <v>151</v>
      </c>
      <c r="U158" s="7" t="s">
        <v>151</v>
      </c>
      <c r="V158" s="7" t="s">
        <v>151</v>
      </c>
      <c r="W158" s="7" t="s">
        <v>151</v>
      </c>
      <c r="X158" s="7" t="s">
        <v>151</v>
      </c>
      <c r="Y158" s="7" t="s">
        <v>151</v>
      </c>
      <c r="Z158" s="7" t="s">
        <v>151</v>
      </c>
      <c r="AA158" s="7" t="s">
        <v>151</v>
      </c>
      <c r="AB158" s="7" t="s">
        <v>151</v>
      </c>
      <c r="AC158" s="7" t="s">
        <v>151</v>
      </c>
      <c r="AD158" s="7" t="s">
        <v>151</v>
      </c>
      <c r="AE158" s="7" t="s">
        <v>151</v>
      </c>
      <c r="AF158" s="7" t="s">
        <v>151</v>
      </c>
      <c r="AG158" s="7" t="s">
        <v>151</v>
      </c>
      <c r="AH158" s="7">
        <v>1</v>
      </c>
      <c r="AI158" s="7">
        <v>1</v>
      </c>
      <c r="AJ158" s="7" t="s">
        <v>151</v>
      </c>
      <c r="AK158" s="7" t="s">
        <v>151</v>
      </c>
      <c r="AL158" s="7">
        <v>2</v>
      </c>
      <c r="AM158" s="7">
        <v>2</v>
      </c>
      <c r="AN158" s="7">
        <v>3</v>
      </c>
      <c r="AO158" s="7">
        <v>3</v>
      </c>
      <c r="AP158" s="7">
        <v>4</v>
      </c>
      <c r="AQ158" s="7">
        <v>4</v>
      </c>
      <c r="AR158" s="7" t="s">
        <v>151</v>
      </c>
      <c r="AS158" s="7" t="s">
        <v>151</v>
      </c>
      <c r="AT158" s="7">
        <v>5</v>
      </c>
      <c r="AU158" s="7">
        <v>5</v>
      </c>
      <c r="AV158" s="7">
        <v>6</v>
      </c>
      <c r="AW158" s="7">
        <v>6</v>
      </c>
      <c r="AX158" s="7" t="s">
        <v>151</v>
      </c>
      <c r="AY158" s="7">
        <v>7</v>
      </c>
      <c r="AZ158" s="7">
        <v>8</v>
      </c>
      <c r="BA158" s="7">
        <v>8</v>
      </c>
      <c r="BB158" s="7" t="s">
        <v>151</v>
      </c>
      <c r="BC158" s="7">
        <v>7</v>
      </c>
      <c r="BD158" s="7">
        <v>9</v>
      </c>
      <c r="BE158" s="7">
        <v>9</v>
      </c>
      <c r="BF158" s="7">
        <v>10</v>
      </c>
      <c r="BG158" s="7">
        <v>10</v>
      </c>
      <c r="BH158" s="7">
        <v>11</v>
      </c>
      <c r="BI158" s="7">
        <v>11</v>
      </c>
      <c r="BJ158" s="7" t="s">
        <v>151</v>
      </c>
      <c r="BK158" s="7" t="s">
        <v>151</v>
      </c>
      <c r="BL158" s="7" t="s">
        <v>151</v>
      </c>
      <c r="BM158" s="20" t="s">
        <v>151</v>
      </c>
    </row>
    <row r="159" spans="1:65" ht="12.75">
      <c r="A159" s="245">
        <v>15</v>
      </c>
      <c r="B159" s="7" t="s">
        <v>151</v>
      </c>
      <c r="C159" s="7" t="s">
        <v>151</v>
      </c>
      <c r="D159" s="7" t="s">
        <v>151</v>
      </c>
      <c r="E159" s="7" t="s">
        <v>151</v>
      </c>
      <c r="F159" s="7" t="s">
        <v>151</v>
      </c>
      <c r="G159" s="7" t="s">
        <v>151</v>
      </c>
      <c r="H159" s="7" t="s">
        <v>151</v>
      </c>
      <c r="I159" s="7" t="s">
        <v>151</v>
      </c>
      <c r="J159" s="7" t="s">
        <v>151</v>
      </c>
      <c r="K159" s="7" t="s">
        <v>151</v>
      </c>
      <c r="L159" s="7" t="s">
        <v>151</v>
      </c>
      <c r="M159" s="7" t="s">
        <v>151</v>
      </c>
      <c r="N159" s="7" t="s">
        <v>151</v>
      </c>
      <c r="O159" s="7" t="s">
        <v>151</v>
      </c>
      <c r="P159" s="7" t="s">
        <v>151</v>
      </c>
      <c r="Q159" s="7" t="s">
        <v>151</v>
      </c>
      <c r="R159" s="7" t="s">
        <v>151</v>
      </c>
      <c r="S159" s="7" t="s">
        <v>151</v>
      </c>
      <c r="T159" s="7" t="s">
        <v>151</v>
      </c>
      <c r="U159" s="7" t="s">
        <v>151</v>
      </c>
      <c r="V159" s="7" t="s">
        <v>151</v>
      </c>
      <c r="W159" s="7" t="s">
        <v>151</v>
      </c>
      <c r="X159" s="7" t="s">
        <v>151</v>
      </c>
      <c r="Y159" s="7" t="s">
        <v>151</v>
      </c>
      <c r="Z159" s="7" t="s">
        <v>151</v>
      </c>
      <c r="AA159" s="7" t="s">
        <v>151</v>
      </c>
      <c r="AB159" s="7" t="s">
        <v>151</v>
      </c>
      <c r="AC159" s="7" t="s">
        <v>151</v>
      </c>
      <c r="AD159" s="7" t="s">
        <v>151</v>
      </c>
      <c r="AE159" s="7" t="s">
        <v>151</v>
      </c>
      <c r="AF159" s="7" t="s">
        <v>151</v>
      </c>
      <c r="AG159" s="7" t="s">
        <v>151</v>
      </c>
      <c r="AH159" s="7">
        <v>1</v>
      </c>
      <c r="AI159" s="7">
        <v>1</v>
      </c>
      <c r="AJ159" s="7">
        <v>2</v>
      </c>
      <c r="AK159" s="7">
        <v>2</v>
      </c>
      <c r="AL159" s="7" t="s">
        <v>151</v>
      </c>
      <c r="AM159" s="7" t="s">
        <v>151</v>
      </c>
      <c r="AN159" s="7">
        <v>3</v>
      </c>
      <c r="AO159" s="7">
        <v>3</v>
      </c>
      <c r="AP159" s="7">
        <v>4</v>
      </c>
      <c r="AQ159" s="7">
        <v>4</v>
      </c>
      <c r="AR159" s="7">
        <v>5</v>
      </c>
      <c r="AS159" s="7">
        <v>5</v>
      </c>
      <c r="AT159" s="7">
        <v>6</v>
      </c>
      <c r="AU159" s="7">
        <v>6</v>
      </c>
      <c r="AV159" s="7">
        <v>7</v>
      </c>
      <c r="AW159" s="7">
        <v>7</v>
      </c>
      <c r="AX159" s="7">
        <v>9</v>
      </c>
      <c r="AY159" s="7">
        <v>9</v>
      </c>
      <c r="AZ159" s="7">
        <v>8</v>
      </c>
      <c r="BA159" s="7">
        <v>8</v>
      </c>
      <c r="BB159" s="7">
        <v>10</v>
      </c>
      <c r="BC159" s="7">
        <v>10</v>
      </c>
      <c r="BD159" s="7">
        <v>11</v>
      </c>
      <c r="BE159" s="7">
        <v>11</v>
      </c>
      <c r="BF159" s="7">
        <v>12</v>
      </c>
      <c r="BG159" s="7">
        <v>12</v>
      </c>
      <c r="BH159" s="7">
        <v>13</v>
      </c>
      <c r="BI159" s="7">
        <v>13</v>
      </c>
      <c r="BJ159" s="7" t="s">
        <v>151</v>
      </c>
      <c r="BK159" s="7" t="s">
        <v>151</v>
      </c>
      <c r="BL159" s="7" t="s">
        <v>151</v>
      </c>
      <c r="BM159" s="20" t="s">
        <v>151</v>
      </c>
    </row>
    <row r="160" spans="1:65" ht="12.75">
      <c r="A160" s="245">
        <v>16</v>
      </c>
      <c r="B160" s="7" t="s">
        <v>151</v>
      </c>
      <c r="C160" s="7" t="s">
        <v>151</v>
      </c>
      <c r="D160" s="7" t="s">
        <v>151</v>
      </c>
      <c r="E160" s="7" t="s">
        <v>151</v>
      </c>
      <c r="F160" s="7" t="s">
        <v>151</v>
      </c>
      <c r="G160" s="7" t="s">
        <v>151</v>
      </c>
      <c r="H160" s="7" t="s">
        <v>151</v>
      </c>
      <c r="I160" s="7" t="s">
        <v>151</v>
      </c>
      <c r="J160" s="7" t="s">
        <v>151</v>
      </c>
      <c r="K160" s="7" t="s">
        <v>151</v>
      </c>
      <c r="L160" s="7" t="s">
        <v>151</v>
      </c>
      <c r="M160" s="7" t="s">
        <v>151</v>
      </c>
      <c r="N160" s="7" t="s">
        <v>151</v>
      </c>
      <c r="O160" s="7" t="s">
        <v>151</v>
      </c>
      <c r="P160" s="7" t="s">
        <v>151</v>
      </c>
      <c r="Q160" s="7" t="s">
        <v>151</v>
      </c>
      <c r="R160" s="7" t="s">
        <v>151</v>
      </c>
      <c r="S160" s="7" t="s">
        <v>151</v>
      </c>
      <c r="T160" s="7" t="s">
        <v>151</v>
      </c>
      <c r="U160" s="7" t="s">
        <v>151</v>
      </c>
      <c r="V160" s="7" t="s">
        <v>151</v>
      </c>
      <c r="W160" s="7" t="s">
        <v>151</v>
      </c>
      <c r="X160" s="7" t="s">
        <v>151</v>
      </c>
      <c r="Y160" s="7" t="s">
        <v>151</v>
      </c>
      <c r="Z160" s="7" t="s">
        <v>151</v>
      </c>
      <c r="AA160" s="7" t="s">
        <v>151</v>
      </c>
      <c r="AB160" s="7" t="s">
        <v>151</v>
      </c>
      <c r="AC160" s="7" t="s">
        <v>151</v>
      </c>
      <c r="AD160" s="7" t="s">
        <v>151</v>
      </c>
      <c r="AE160" s="7" t="s">
        <v>151</v>
      </c>
      <c r="AF160" s="7" t="s">
        <v>151</v>
      </c>
      <c r="AG160" s="7" t="s">
        <v>151</v>
      </c>
      <c r="AH160" s="7">
        <v>1</v>
      </c>
      <c r="AI160" s="7">
        <v>1</v>
      </c>
      <c r="AJ160" s="7">
        <v>2</v>
      </c>
      <c r="AK160" s="7">
        <v>2</v>
      </c>
      <c r="AL160" s="7">
        <v>3</v>
      </c>
      <c r="AM160" s="7">
        <v>3</v>
      </c>
      <c r="AN160" s="7">
        <v>4</v>
      </c>
      <c r="AO160" s="7">
        <v>4</v>
      </c>
      <c r="AP160" s="7">
        <v>5</v>
      </c>
      <c r="AQ160" s="7">
        <v>5</v>
      </c>
      <c r="AR160" s="7">
        <v>6</v>
      </c>
      <c r="AS160" s="7">
        <v>6</v>
      </c>
      <c r="AT160" s="7">
        <v>7</v>
      </c>
      <c r="AU160" s="7">
        <v>7</v>
      </c>
      <c r="AV160" s="7">
        <v>8</v>
      </c>
      <c r="AW160" s="7">
        <v>8</v>
      </c>
      <c r="AX160" s="7">
        <v>9</v>
      </c>
      <c r="AY160" s="7">
        <v>9</v>
      </c>
      <c r="AZ160" s="7">
        <v>10</v>
      </c>
      <c r="BA160" s="7">
        <v>10</v>
      </c>
      <c r="BB160" s="7">
        <v>11</v>
      </c>
      <c r="BC160" s="7">
        <v>11</v>
      </c>
      <c r="BD160" s="7">
        <v>12</v>
      </c>
      <c r="BE160" s="7">
        <v>12</v>
      </c>
      <c r="BF160" s="7">
        <v>13</v>
      </c>
      <c r="BG160" s="7">
        <v>13</v>
      </c>
      <c r="BH160" s="7">
        <v>14</v>
      </c>
      <c r="BI160" s="7">
        <v>14</v>
      </c>
      <c r="BJ160" s="7" t="s">
        <v>151</v>
      </c>
      <c r="BK160" s="7" t="s">
        <v>151</v>
      </c>
      <c r="BL160" s="7" t="s">
        <v>151</v>
      </c>
      <c r="BM160" s="20" t="s">
        <v>151</v>
      </c>
    </row>
    <row r="161" spans="1:65" ht="12.75">
      <c r="A161" s="245">
        <v>17</v>
      </c>
      <c r="B161" s="7">
        <v>1</v>
      </c>
      <c r="C161" s="7">
        <v>1</v>
      </c>
      <c r="D161" s="7" t="s">
        <v>151</v>
      </c>
      <c r="E161" s="7" t="s">
        <v>151</v>
      </c>
      <c r="F161" s="7" t="s">
        <v>151</v>
      </c>
      <c r="G161" s="7" t="s">
        <v>151</v>
      </c>
      <c r="H161" s="7" t="s">
        <v>151</v>
      </c>
      <c r="I161" s="7" t="s">
        <v>151</v>
      </c>
      <c r="J161" s="7" t="s">
        <v>151</v>
      </c>
      <c r="K161" s="7" t="s">
        <v>151</v>
      </c>
      <c r="L161" s="7" t="s">
        <v>151</v>
      </c>
      <c r="M161" s="7" t="s">
        <v>151</v>
      </c>
      <c r="N161" s="7" t="s">
        <v>151</v>
      </c>
      <c r="O161" s="7" t="s">
        <v>151</v>
      </c>
      <c r="P161" s="7" t="s">
        <v>151</v>
      </c>
      <c r="Q161" s="7" t="s">
        <v>151</v>
      </c>
      <c r="R161" s="7" t="s">
        <v>151</v>
      </c>
      <c r="S161" s="7" t="s">
        <v>151</v>
      </c>
      <c r="T161" s="7" t="s">
        <v>151</v>
      </c>
      <c r="U161" s="7" t="s">
        <v>151</v>
      </c>
      <c r="V161" s="7" t="s">
        <v>151</v>
      </c>
      <c r="W161" s="7" t="s">
        <v>151</v>
      </c>
      <c r="X161" s="7" t="s">
        <v>151</v>
      </c>
      <c r="Y161" s="7" t="s">
        <v>151</v>
      </c>
      <c r="Z161" s="7" t="s">
        <v>151</v>
      </c>
      <c r="AA161" s="7" t="s">
        <v>151</v>
      </c>
      <c r="AB161" s="7" t="s">
        <v>151</v>
      </c>
      <c r="AC161" s="7" t="s">
        <v>151</v>
      </c>
      <c r="AD161" s="7" t="s">
        <v>151</v>
      </c>
      <c r="AE161" s="7" t="s">
        <v>151</v>
      </c>
      <c r="AF161" s="7" t="s">
        <v>151</v>
      </c>
      <c r="AG161" s="7" t="s">
        <v>151</v>
      </c>
      <c r="AH161" s="7" t="s">
        <v>151</v>
      </c>
      <c r="AI161" s="7">
        <v>6</v>
      </c>
      <c r="AJ161" s="7">
        <v>7</v>
      </c>
      <c r="AK161" s="7">
        <v>7</v>
      </c>
      <c r="AL161" s="7">
        <v>8</v>
      </c>
      <c r="AM161" s="7">
        <v>8</v>
      </c>
      <c r="AN161" s="7">
        <v>9</v>
      </c>
      <c r="AO161" s="7">
        <v>9</v>
      </c>
      <c r="AP161" s="7">
        <v>2</v>
      </c>
      <c r="AQ161" s="7">
        <v>2</v>
      </c>
      <c r="AR161" s="7">
        <v>3</v>
      </c>
      <c r="AS161" s="7">
        <v>3</v>
      </c>
      <c r="AT161" s="7">
        <v>4</v>
      </c>
      <c r="AU161" s="7">
        <v>4</v>
      </c>
      <c r="AV161" s="7">
        <v>5</v>
      </c>
      <c r="AW161" s="7">
        <v>5</v>
      </c>
      <c r="AX161" s="7">
        <v>12</v>
      </c>
      <c r="AY161" s="7">
        <v>12</v>
      </c>
      <c r="AZ161" s="7">
        <v>13</v>
      </c>
      <c r="BA161" s="7">
        <v>13</v>
      </c>
      <c r="BB161" s="7">
        <v>10</v>
      </c>
      <c r="BC161" s="7">
        <v>10</v>
      </c>
      <c r="BD161" s="7">
        <v>11</v>
      </c>
      <c r="BE161" s="7">
        <v>11</v>
      </c>
      <c r="BF161" s="7">
        <v>14</v>
      </c>
      <c r="BG161" s="7">
        <v>14</v>
      </c>
      <c r="BH161" s="7">
        <v>15</v>
      </c>
      <c r="BI161" s="7">
        <v>15</v>
      </c>
      <c r="BJ161" s="7" t="s">
        <v>151</v>
      </c>
      <c r="BK161" s="7" t="s">
        <v>151</v>
      </c>
      <c r="BL161" s="7" t="s">
        <v>151</v>
      </c>
      <c r="BM161" s="20" t="s">
        <v>151</v>
      </c>
    </row>
    <row r="162" spans="1:65" ht="12.75">
      <c r="A162" s="246">
        <v>18</v>
      </c>
      <c r="B162" s="7">
        <v>1</v>
      </c>
      <c r="C162" s="7">
        <v>1</v>
      </c>
      <c r="D162" s="7" t="s">
        <v>151</v>
      </c>
      <c r="E162" s="7" t="s">
        <v>151</v>
      </c>
      <c r="F162" s="7" t="s">
        <v>151</v>
      </c>
      <c r="G162" s="7" t="s">
        <v>151</v>
      </c>
      <c r="H162" s="7" t="s">
        <v>151</v>
      </c>
      <c r="I162" s="7" t="s">
        <v>151</v>
      </c>
      <c r="J162" s="7" t="s">
        <v>151</v>
      </c>
      <c r="K162" s="7" t="s">
        <v>151</v>
      </c>
      <c r="L162" s="7" t="s">
        <v>151</v>
      </c>
      <c r="M162" s="7" t="s">
        <v>151</v>
      </c>
      <c r="N162" s="7" t="s">
        <v>151</v>
      </c>
      <c r="O162" s="7" t="s">
        <v>151</v>
      </c>
      <c r="P162" s="7" t="s">
        <v>151</v>
      </c>
      <c r="Q162" s="7" t="s">
        <v>151</v>
      </c>
      <c r="R162" s="7">
        <v>2</v>
      </c>
      <c r="S162" s="7">
        <v>2</v>
      </c>
      <c r="T162" s="7" t="s">
        <v>151</v>
      </c>
      <c r="U162" s="7" t="s">
        <v>151</v>
      </c>
      <c r="V162" s="7" t="s">
        <v>151</v>
      </c>
      <c r="W162" s="7" t="s">
        <v>151</v>
      </c>
      <c r="X162" s="7" t="s">
        <v>151</v>
      </c>
      <c r="Y162" s="7" t="s">
        <v>151</v>
      </c>
      <c r="Z162" s="7" t="s">
        <v>151</v>
      </c>
      <c r="AA162" s="7" t="s">
        <v>151</v>
      </c>
      <c r="AB162" s="7" t="s">
        <v>151</v>
      </c>
      <c r="AC162" s="7" t="s">
        <v>151</v>
      </c>
      <c r="AD162" s="7" t="s">
        <v>151</v>
      </c>
      <c r="AE162" s="7" t="s">
        <v>151</v>
      </c>
      <c r="AF162" s="7" t="s">
        <v>151</v>
      </c>
      <c r="AG162" s="7" t="s">
        <v>151</v>
      </c>
      <c r="AH162" s="7" t="s">
        <v>151</v>
      </c>
      <c r="AI162" s="7">
        <v>3</v>
      </c>
      <c r="AJ162" s="7">
        <v>4</v>
      </c>
      <c r="AK162" s="7">
        <v>4</v>
      </c>
      <c r="AL162" s="7">
        <v>5</v>
      </c>
      <c r="AM162" s="7">
        <v>5</v>
      </c>
      <c r="AN162" s="7">
        <v>6</v>
      </c>
      <c r="AO162" s="7">
        <v>6</v>
      </c>
      <c r="AP162" s="7" t="s">
        <v>151</v>
      </c>
      <c r="AQ162" s="7">
        <v>7</v>
      </c>
      <c r="AR162" s="7">
        <v>8</v>
      </c>
      <c r="AS162" s="7">
        <v>8</v>
      </c>
      <c r="AT162" s="7">
        <v>9</v>
      </c>
      <c r="AU162" s="7">
        <v>9</v>
      </c>
      <c r="AV162" s="7">
        <v>10</v>
      </c>
      <c r="AW162" s="7">
        <v>10</v>
      </c>
      <c r="AX162" s="7">
        <v>11</v>
      </c>
      <c r="AY162" s="7">
        <v>11</v>
      </c>
      <c r="AZ162" s="7">
        <v>12</v>
      </c>
      <c r="BA162" s="7">
        <v>12</v>
      </c>
      <c r="BB162" s="7">
        <v>13</v>
      </c>
      <c r="BC162" s="7">
        <v>13</v>
      </c>
      <c r="BD162" s="7">
        <v>14</v>
      </c>
      <c r="BE162" s="7">
        <v>14</v>
      </c>
      <c r="BF162" s="7">
        <v>15</v>
      </c>
      <c r="BG162" s="7">
        <v>15</v>
      </c>
      <c r="BH162" s="7">
        <v>16</v>
      </c>
      <c r="BI162" s="7">
        <v>16</v>
      </c>
      <c r="BJ162" s="7" t="s">
        <v>151</v>
      </c>
      <c r="BK162" s="7" t="s">
        <v>151</v>
      </c>
      <c r="BL162" s="7" t="s">
        <v>151</v>
      </c>
      <c r="BM162" s="20" t="s">
        <v>151</v>
      </c>
    </row>
    <row r="163" spans="1:65" ht="12.75">
      <c r="A163" s="244">
        <v>19</v>
      </c>
      <c r="B163" s="7">
        <v>1</v>
      </c>
      <c r="C163" s="7">
        <v>1</v>
      </c>
      <c r="D163" s="7" t="s">
        <v>151</v>
      </c>
      <c r="E163" s="7" t="s">
        <v>151</v>
      </c>
      <c r="F163" s="7" t="s">
        <v>151</v>
      </c>
      <c r="G163" s="7" t="s">
        <v>151</v>
      </c>
      <c r="H163" s="7" t="s">
        <v>151</v>
      </c>
      <c r="I163" s="7" t="s">
        <v>151</v>
      </c>
      <c r="J163" s="7">
        <v>2</v>
      </c>
      <c r="K163" s="7">
        <v>2</v>
      </c>
      <c r="L163" s="7" t="s">
        <v>151</v>
      </c>
      <c r="M163" s="7" t="s">
        <v>151</v>
      </c>
      <c r="N163" s="7" t="s">
        <v>151</v>
      </c>
      <c r="O163" s="7" t="s">
        <v>151</v>
      </c>
      <c r="P163" s="7" t="s">
        <v>151</v>
      </c>
      <c r="Q163" s="7" t="s">
        <v>151</v>
      </c>
      <c r="R163" s="7">
        <v>3</v>
      </c>
      <c r="S163" s="7">
        <v>3</v>
      </c>
      <c r="T163" s="7" t="s">
        <v>151</v>
      </c>
      <c r="U163" s="7" t="s">
        <v>151</v>
      </c>
      <c r="V163" s="7" t="s">
        <v>151</v>
      </c>
      <c r="W163" s="7" t="s">
        <v>151</v>
      </c>
      <c r="X163" s="7" t="s">
        <v>151</v>
      </c>
      <c r="Y163" s="7" t="s">
        <v>151</v>
      </c>
      <c r="Z163" s="7" t="s">
        <v>151</v>
      </c>
      <c r="AA163" s="7" t="s">
        <v>151</v>
      </c>
      <c r="AB163" s="7" t="s">
        <v>151</v>
      </c>
      <c r="AC163" s="7" t="s">
        <v>151</v>
      </c>
      <c r="AD163" s="7" t="s">
        <v>151</v>
      </c>
      <c r="AE163" s="7" t="s">
        <v>151</v>
      </c>
      <c r="AF163" s="7" t="s">
        <v>151</v>
      </c>
      <c r="AG163" s="7" t="s">
        <v>151</v>
      </c>
      <c r="AH163" s="7" t="s">
        <v>151</v>
      </c>
      <c r="AI163" s="7">
        <v>4</v>
      </c>
      <c r="AJ163" s="7">
        <v>5</v>
      </c>
      <c r="AK163" s="7">
        <v>5</v>
      </c>
      <c r="AL163" s="7" t="s">
        <v>151</v>
      </c>
      <c r="AM163" s="7">
        <v>6</v>
      </c>
      <c r="AN163" s="7">
        <v>7</v>
      </c>
      <c r="AO163" s="7">
        <v>7</v>
      </c>
      <c r="AP163" s="7" t="s">
        <v>151</v>
      </c>
      <c r="AQ163" s="7">
        <v>8</v>
      </c>
      <c r="AR163" s="7">
        <v>9</v>
      </c>
      <c r="AS163" s="7">
        <v>9</v>
      </c>
      <c r="AT163" s="7">
        <v>10</v>
      </c>
      <c r="AU163" s="7">
        <v>10</v>
      </c>
      <c r="AV163" s="7">
        <v>11</v>
      </c>
      <c r="AW163" s="7">
        <v>11</v>
      </c>
      <c r="AX163" s="7">
        <v>12</v>
      </c>
      <c r="AY163" s="7">
        <v>12</v>
      </c>
      <c r="AZ163" s="7">
        <v>13</v>
      </c>
      <c r="BA163" s="7">
        <v>13</v>
      </c>
      <c r="BB163" s="7">
        <v>14</v>
      </c>
      <c r="BC163" s="7">
        <v>14</v>
      </c>
      <c r="BD163" s="7">
        <v>15</v>
      </c>
      <c r="BE163" s="7">
        <v>15</v>
      </c>
      <c r="BF163" s="7">
        <v>16</v>
      </c>
      <c r="BG163" s="7">
        <v>16</v>
      </c>
      <c r="BH163" s="7">
        <v>17</v>
      </c>
      <c r="BI163" s="7">
        <v>17</v>
      </c>
      <c r="BJ163" s="7" t="s">
        <v>151</v>
      </c>
      <c r="BK163" s="7" t="s">
        <v>151</v>
      </c>
      <c r="BL163" s="7" t="s">
        <v>151</v>
      </c>
      <c r="BM163" s="20" t="s">
        <v>151</v>
      </c>
    </row>
    <row r="164" spans="1:65" ht="12.75">
      <c r="A164" s="246">
        <v>20</v>
      </c>
      <c r="B164" s="7">
        <v>1</v>
      </c>
      <c r="C164" s="7">
        <v>1</v>
      </c>
      <c r="D164" s="7" t="s">
        <v>151</v>
      </c>
      <c r="E164" s="7" t="s">
        <v>151</v>
      </c>
      <c r="F164" s="7" t="s">
        <v>151</v>
      </c>
      <c r="G164" s="7" t="s">
        <v>151</v>
      </c>
      <c r="H164" s="7" t="s">
        <v>151</v>
      </c>
      <c r="I164" s="7" t="s">
        <v>151</v>
      </c>
      <c r="J164" s="7">
        <v>2</v>
      </c>
      <c r="K164" s="7">
        <v>2</v>
      </c>
      <c r="L164" s="7" t="s">
        <v>151</v>
      </c>
      <c r="M164" s="7" t="s">
        <v>151</v>
      </c>
      <c r="N164" s="7" t="s">
        <v>151</v>
      </c>
      <c r="O164" s="7" t="s">
        <v>151</v>
      </c>
      <c r="P164" s="7" t="s">
        <v>151</v>
      </c>
      <c r="Q164" s="7" t="s">
        <v>151</v>
      </c>
      <c r="R164" s="7">
        <v>3</v>
      </c>
      <c r="S164" s="7">
        <v>3</v>
      </c>
      <c r="T164" s="7" t="s">
        <v>151</v>
      </c>
      <c r="U164" s="7" t="s">
        <v>151</v>
      </c>
      <c r="V164" s="7" t="s">
        <v>151</v>
      </c>
      <c r="W164" s="7" t="s">
        <v>151</v>
      </c>
      <c r="X164" s="7" t="s">
        <v>151</v>
      </c>
      <c r="Y164" s="7" t="s">
        <v>151</v>
      </c>
      <c r="Z164" s="7">
        <v>4</v>
      </c>
      <c r="AA164" s="7">
        <v>4</v>
      </c>
      <c r="AB164" s="7" t="s">
        <v>151</v>
      </c>
      <c r="AC164" s="7" t="s">
        <v>151</v>
      </c>
      <c r="AD164" s="7" t="s">
        <v>151</v>
      </c>
      <c r="AE164" s="7" t="s">
        <v>151</v>
      </c>
      <c r="AF164" s="7" t="s">
        <v>151</v>
      </c>
      <c r="AG164" s="7" t="s">
        <v>151</v>
      </c>
      <c r="AH164" s="7" t="s">
        <v>151</v>
      </c>
      <c r="AI164" s="7">
        <v>5</v>
      </c>
      <c r="AJ164" s="7">
        <v>6</v>
      </c>
      <c r="AK164" s="7">
        <v>6</v>
      </c>
      <c r="AL164" s="7" t="s">
        <v>151</v>
      </c>
      <c r="AM164" s="7">
        <v>7</v>
      </c>
      <c r="AN164" s="7">
        <v>8</v>
      </c>
      <c r="AO164" s="7">
        <v>8</v>
      </c>
      <c r="AP164" s="7" t="s">
        <v>151</v>
      </c>
      <c r="AQ164" s="7">
        <v>9</v>
      </c>
      <c r="AR164" s="7">
        <v>10</v>
      </c>
      <c r="AS164" s="7">
        <v>10</v>
      </c>
      <c r="AT164" s="7" t="s">
        <v>151</v>
      </c>
      <c r="AU164" s="7">
        <v>11</v>
      </c>
      <c r="AV164" s="7">
        <v>12</v>
      </c>
      <c r="AW164" s="7">
        <v>12</v>
      </c>
      <c r="AX164" s="7">
        <v>13</v>
      </c>
      <c r="AY164" s="7">
        <v>13</v>
      </c>
      <c r="AZ164" s="7">
        <v>14</v>
      </c>
      <c r="BA164" s="7">
        <v>14</v>
      </c>
      <c r="BB164" s="7">
        <v>15</v>
      </c>
      <c r="BC164" s="7">
        <v>15</v>
      </c>
      <c r="BD164" s="7">
        <v>16</v>
      </c>
      <c r="BE164" s="7">
        <v>16</v>
      </c>
      <c r="BF164" s="7">
        <v>17</v>
      </c>
      <c r="BG164" s="7">
        <v>17</v>
      </c>
      <c r="BH164" s="7">
        <v>18</v>
      </c>
      <c r="BI164" s="301">
        <v>18</v>
      </c>
      <c r="BJ164" s="7" t="s">
        <v>151</v>
      </c>
      <c r="BK164" s="7" t="s">
        <v>151</v>
      </c>
      <c r="BL164" s="7" t="s">
        <v>151</v>
      </c>
      <c r="BM164" s="20" t="s">
        <v>151</v>
      </c>
    </row>
    <row r="165" spans="1:65" ht="12.75">
      <c r="A165" s="246">
        <v>21</v>
      </c>
      <c r="B165" s="7">
        <v>1</v>
      </c>
      <c r="C165" s="7">
        <v>1</v>
      </c>
      <c r="D165" s="7" t="s">
        <v>151</v>
      </c>
      <c r="E165" s="7" t="s">
        <v>151</v>
      </c>
      <c r="F165" s="7">
        <v>2</v>
      </c>
      <c r="G165" s="7">
        <v>2</v>
      </c>
      <c r="H165" s="7" t="s">
        <v>151</v>
      </c>
      <c r="I165" s="7" t="s">
        <v>151</v>
      </c>
      <c r="J165" s="7">
        <v>3</v>
      </c>
      <c r="K165" s="7">
        <v>3</v>
      </c>
      <c r="L165" s="7" t="s">
        <v>151</v>
      </c>
      <c r="M165" s="7" t="s">
        <v>151</v>
      </c>
      <c r="N165" s="7" t="s">
        <v>151</v>
      </c>
      <c r="O165" s="7" t="s">
        <v>151</v>
      </c>
      <c r="P165" s="7" t="s">
        <v>151</v>
      </c>
      <c r="Q165" s="7" t="s">
        <v>151</v>
      </c>
      <c r="R165" s="7">
        <v>4</v>
      </c>
      <c r="S165" s="7">
        <v>4</v>
      </c>
      <c r="T165" s="7" t="s">
        <v>151</v>
      </c>
      <c r="U165" s="7" t="s">
        <v>151</v>
      </c>
      <c r="V165" s="7" t="s">
        <v>151</v>
      </c>
      <c r="W165" s="7" t="s">
        <v>151</v>
      </c>
      <c r="X165" s="7" t="s">
        <v>151</v>
      </c>
      <c r="Y165" s="7" t="s">
        <v>151</v>
      </c>
      <c r="Z165" s="7">
        <v>5</v>
      </c>
      <c r="AA165" s="7">
        <v>6</v>
      </c>
      <c r="AB165" s="7" t="s">
        <v>151</v>
      </c>
      <c r="AC165" s="7" t="s">
        <v>151</v>
      </c>
      <c r="AD165" s="7" t="s">
        <v>151</v>
      </c>
      <c r="AE165" s="7" t="s">
        <v>151</v>
      </c>
      <c r="AF165" s="7" t="s">
        <v>151</v>
      </c>
      <c r="AG165" s="7" t="s">
        <v>151</v>
      </c>
      <c r="AH165" s="7" t="s">
        <v>151</v>
      </c>
      <c r="AI165" s="7">
        <v>6</v>
      </c>
      <c r="AJ165" s="7" t="s">
        <v>151</v>
      </c>
      <c r="AK165" s="7">
        <v>7</v>
      </c>
      <c r="AL165" s="7" t="s">
        <v>151</v>
      </c>
      <c r="AM165" s="7">
        <v>8</v>
      </c>
      <c r="AN165" s="7">
        <v>9</v>
      </c>
      <c r="AO165" s="7">
        <v>9</v>
      </c>
      <c r="AP165" s="7" t="s">
        <v>151</v>
      </c>
      <c r="AQ165" s="7">
        <v>10</v>
      </c>
      <c r="AR165" s="7">
        <v>11</v>
      </c>
      <c r="AS165" s="7">
        <v>11</v>
      </c>
      <c r="AT165" s="7" t="s">
        <v>151</v>
      </c>
      <c r="AU165" s="7">
        <v>12</v>
      </c>
      <c r="AV165" s="7">
        <v>13</v>
      </c>
      <c r="AW165" s="7">
        <v>13</v>
      </c>
      <c r="AX165" s="7">
        <v>14</v>
      </c>
      <c r="AY165" s="7">
        <v>14</v>
      </c>
      <c r="AZ165" s="7">
        <v>15</v>
      </c>
      <c r="BA165" s="7">
        <v>15</v>
      </c>
      <c r="BB165" s="7">
        <v>16</v>
      </c>
      <c r="BC165" s="7">
        <v>16</v>
      </c>
      <c r="BD165" s="7">
        <v>17</v>
      </c>
      <c r="BE165" s="7">
        <v>17</v>
      </c>
      <c r="BF165" s="7">
        <v>18</v>
      </c>
      <c r="BG165" s="7">
        <v>18</v>
      </c>
      <c r="BH165" s="7">
        <v>19</v>
      </c>
      <c r="BI165" s="7">
        <v>19</v>
      </c>
      <c r="BJ165" s="7"/>
      <c r="BK165" s="7"/>
      <c r="BL165" s="7"/>
      <c r="BM165" s="20"/>
    </row>
    <row r="166" spans="1:65" ht="12.75">
      <c r="A166" s="246">
        <v>22</v>
      </c>
      <c r="B166" s="7">
        <v>1</v>
      </c>
      <c r="C166" s="7">
        <v>1</v>
      </c>
      <c r="D166" s="7" t="s">
        <v>151</v>
      </c>
      <c r="E166" s="7" t="s">
        <v>151</v>
      </c>
      <c r="F166" s="7">
        <v>2</v>
      </c>
      <c r="G166" s="7">
        <v>2</v>
      </c>
      <c r="H166" s="7" t="s">
        <v>151</v>
      </c>
      <c r="I166" s="7" t="s">
        <v>151</v>
      </c>
      <c r="J166" s="7">
        <v>3</v>
      </c>
      <c r="K166" s="7">
        <v>3</v>
      </c>
      <c r="L166" s="7" t="s">
        <v>151</v>
      </c>
      <c r="M166" s="7" t="s">
        <v>151</v>
      </c>
      <c r="N166" s="7" t="s">
        <v>151</v>
      </c>
      <c r="O166" s="7" t="s">
        <v>151</v>
      </c>
      <c r="P166" s="7" t="s">
        <v>151</v>
      </c>
      <c r="Q166" s="7" t="s">
        <v>151</v>
      </c>
      <c r="R166" s="7">
        <v>4</v>
      </c>
      <c r="S166" s="7">
        <v>4</v>
      </c>
      <c r="T166" s="7" t="s">
        <v>151</v>
      </c>
      <c r="U166" s="7" t="s">
        <v>151</v>
      </c>
      <c r="V166" s="7">
        <v>5</v>
      </c>
      <c r="W166" s="7">
        <v>5</v>
      </c>
      <c r="X166" s="7" t="s">
        <v>151</v>
      </c>
      <c r="Y166" s="7" t="s">
        <v>151</v>
      </c>
      <c r="Z166" s="7">
        <v>6</v>
      </c>
      <c r="AA166" s="7">
        <v>6</v>
      </c>
      <c r="AB166" s="7" t="s">
        <v>151</v>
      </c>
      <c r="AC166" s="7" t="s">
        <v>151</v>
      </c>
      <c r="AD166" s="7" t="s">
        <v>151</v>
      </c>
      <c r="AE166" s="7" t="s">
        <v>151</v>
      </c>
      <c r="AF166" s="7" t="s">
        <v>151</v>
      </c>
      <c r="AG166" s="7" t="s">
        <v>151</v>
      </c>
      <c r="AH166" s="7" t="s">
        <v>151</v>
      </c>
      <c r="AI166" s="7">
        <v>7</v>
      </c>
      <c r="AJ166" s="7" t="s">
        <v>151</v>
      </c>
      <c r="AK166" s="7">
        <v>8</v>
      </c>
      <c r="AL166" s="7" t="s">
        <v>151</v>
      </c>
      <c r="AM166" s="7">
        <v>9</v>
      </c>
      <c r="AN166" s="7">
        <v>10</v>
      </c>
      <c r="AO166" s="7">
        <v>10</v>
      </c>
      <c r="AP166" s="7" t="s">
        <v>151</v>
      </c>
      <c r="AQ166" s="7">
        <v>11</v>
      </c>
      <c r="AR166" s="7" t="s">
        <v>151</v>
      </c>
      <c r="AS166" s="7">
        <v>12</v>
      </c>
      <c r="AT166" s="7" t="s">
        <v>151</v>
      </c>
      <c r="AU166" s="7">
        <v>13</v>
      </c>
      <c r="AV166" s="7">
        <v>14</v>
      </c>
      <c r="AW166" s="7">
        <v>14</v>
      </c>
      <c r="AX166" s="7">
        <v>15</v>
      </c>
      <c r="AY166" s="7">
        <v>15</v>
      </c>
      <c r="AZ166" s="7">
        <v>16</v>
      </c>
      <c r="BA166" s="7">
        <v>16</v>
      </c>
      <c r="BB166" s="7">
        <v>17</v>
      </c>
      <c r="BC166" s="7">
        <v>17</v>
      </c>
      <c r="BD166" s="7">
        <v>18</v>
      </c>
      <c r="BE166" s="7">
        <v>18</v>
      </c>
      <c r="BF166" s="7">
        <v>19</v>
      </c>
      <c r="BG166" s="301">
        <v>19</v>
      </c>
      <c r="BH166" s="7">
        <v>20</v>
      </c>
      <c r="BI166" s="7">
        <v>20</v>
      </c>
      <c r="BJ166" s="7"/>
      <c r="BK166" s="7"/>
      <c r="BL166" s="7"/>
      <c r="BM166" s="20"/>
    </row>
    <row r="167" spans="1:65" ht="12.75">
      <c r="A167" s="246">
        <v>23</v>
      </c>
      <c r="B167" s="7">
        <v>1</v>
      </c>
      <c r="C167" s="7">
        <v>1</v>
      </c>
      <c r="D167" s="7" t="s">
        <v>151</v>
      </c>
      <c r="E167" s="7" t="s">
        <v>151</v>
      </c>
      <c r="F167" s="7">
        <v>2</v>
      </c>
      <c r="G167" s="7">
        <v>2</v>
      </c>
      <c r="H167" s="7" t="s">
        <v>151</v>
      </c>
      <c r="I167" s="7" t="s">
        <v>151</v>
      </c>
      <c r="J167" s="7">
        <v>3</v>
      </c>
      <c r="K167" s="7">
        <v>3</v>
      </c>
      <c r="L167" s="7" t="s">
        <v>151</v>
      </c>
      <c r="M167" s="7" t="s">
        <v>151</v>
      </c>
      <c r="N167" s="7">
        <v>4</v>
      </c>
      <c r="O167" s="7">
        <v>4</v>
      </c>
      <c r="P167" s="7" t="s">
        <v>151</v>
      </c>
      <c r="Q167" s="7" t="s">
        <v>151</v>
      </c>
      <c r="R167" s="7" t="s">
        <v>151</v>
      </c>
      <c r="S167" s="7" t="s">
        <v>151</v>
      </c>
      <c r="T167" s="7" t="s">
        <v>151</v>
      </c>
      <c r="U167" s="7" t="s">
        <v>151</v>
      </c>
      <c r="V167" s="7">
        <v>5</v>
      </c>
      <c r="W167" s="7">
        <v>5</v>
      </c>
      <c r="X167" s="7" t="s">
        <v>151</v>
      </c>
      <c r="Y167" s="7" t="s">
        <v>151</v>
      </c>
      <c r="Z167" s="7">
        <v>6</v>
      </c>
      <c r="AA167" s="7">
        <v>6</v>
      </c>
      <c r="AB167" s="7" t="s">
        <v>151</v>
      </c>
      <c r="AC167" s="7" t="s">
        <v>151</v>
      </c>
      <c r="AD167" s="7">
        <v>7</v>
      </c>
      <c r="AE167" s="7">
        <v>7</v>
      </c>
      <c r="AF167" s="7" t="s">
        <v>151</v>
      </c>
      <c r="AG167" s="7" t="s">
        <v>151</v>
      </c>
      <c r="AH167" s="7" t="s">
        <v>151</v>
      </c>
      <c r="AI167" s="7">
        <v>8</v>
      </c>
      <c r="AJ167" s="7" t="s">
        <v>151</v>
      </c>
      <c r="AK167" s="7">
        <v>9</v>
      </c>
      <c r="AL167" s="7" t="s">
        <v>151</v>
      </c>
      <c r="AM167" s="7">
        <v>10</v>
      </c>
      <c r="AN167" s="7" t="s">
        <v>151</v>
      </c>
      <c r="AO167" s="7">
        <v>11</v>
      </c>
      <c r="AP167" s="7">
        <v>12</v>
      </c>
      <c r="AQ167" s="7">
        <v>12</v>
      </c>
      <c r="AR167" s="7" t="s">
        <v>151</v>
      </c>
      <c r="AS167" s="7">
        <v>13</v>
      </c>
      <c r="AT167" s="7" t="s">
        <v>151</v>
      </c>
      <c r="AU167" s="7">
        <v>14</v>
      </c>
      <c r="AV167" s="7" t="s">
        <v>151</v>
      </c>
      <c r="AW167" s="7">
        <v>15</v>
      </c>
      <c r="AX167" s="7">
        <v>16</v>
      </c>
      <c r="AY167" s="7">
        <v>16</v>
      </c>
      <c r="AZ167" s="7">
        <v>17</v>
      </c>
      <c r="BA167" s="7">
        <v>17</v>
      </c>
      <c r="BB167" s="7">
        <v>18</v>
      </c>
      <c r="BC167" s="7">
        <v>18</v>
      </c>
      <c r="BD167" s="7">
        <v>19</v>
      </c>
      <c r="BE167" s="7">
        <v>19</v>
      </c>
      <c r="BF167" s="301">
        <v>20</v>
      </c>
      <c r="BG167" s="301">
        <v>20</v>
      </c>
      <c r="BH167" s="7">
        <v>21</v>
      </c>
      <c r="BI167" s="7">
        <v>21</v>
      </c>
      <c r="BJ167" s="7"/>
      <c r="BK167" s="7"/>
      <c r="BL167" s="7"/>
      <c r="BM167" s="20"/>
    </row>
    <row r="168" spans="1:65" ht="12.75">
      <c r="A168" s="246">
        <v>24</v>
      </c>
      <c r="B168" s="7">
        <v>1</v>
      </c>
      <c r="C168" s="7">
        <v>1</v>
      </c>
      <c r="D168" s="7" t="s">
        <v>151</v>
      </c>
      <c r="E168" s="7" t="s">
        <v>151</v>
      </c>
      <c r="F168" s="7">
        <v>2</v>
      </c>
      <c r="G168" s="7">
        <v>2</v>
      </c>
      <c r="H168" s="7" t="s">
        <v>151</v>
      </c>
      <c r="I168" s="7" t="s">
        <v>151</v>
      </c>
      <c r="J168" s="7">
        <v>3</v>
      </c>
      <c r="K168" s="7">
        <v>3</v>
      </c>
      <c r="L168" s="7" t="s">
        <v>151</v>
      </c>
      <c r="M168" s="7" t="s">
        <v>151</v>
      </c>
      <c r="N168" s="7">
        <v>4</v>
      </c>
      <c r="O168" s="7">
        <v>4</v>
      </c>
      <c r="P168" s="7" t="s">
        <v>151</v>
      </c>
      <c r="Q168" s="7" t="s">
        <v>151</v>
      </c>
      <c r="R168" s="7">
        <v>5</v>
      </c>
      <c r="S168" s="7">
        <v>5</v>
      </c>
      <c r="T168" s="7" t="s">
        <v>151</v>
      </c>
      <c r="U168" s="7" t="s">
        <v>151</v>
      </c>
      <c r="V168" s="7">
        <v>6</v>
      </c>
      <c r="W168" s="7">
        <v>6</v>
      </c>
      <c r="X168" s="7" t="s">
        <v>151</v>
      </c>
      <c r="Y168" s="7" t="s">
        <v>151</v>
      </c>
      <c r="Z168" s="7">
        <v>7</v>
      </c>
      <c r="AA168" s="7">
        <v>7</v>
      </c>
      <c r="AB168" s="7" t="s">
        <v>151</v>
      </c>
      <c r="AC168" s="7" t="s">
        <v>151</v>
      </c>
      <c r="AD168" s="7">
        <v>8</v>
      </c>
      <c r="AE168" s="7">
        <v>8</v>
      </c>
      <c r="AF168" s="7" t="s">
        <v>151</v>
      </c>
      <c r="AG168" s="7" t="s">
        <v>151</v>
      </c>
      <c r="AH168" s="7" t="s">
        <v>151</v>
      </c>
      <c r="AI168" s="7">
        <v>9</v>
      </c>
      <c r="AJ168" s="7" t="s">
        <v>151</v>
      </c>
      <c r="AK168" s="7">
        <v>10</v>
      </c>
      <c r="AL168" s="7" t="s">
        <v>151</v>
      </c>
      <c r="AM168" s="7">
        <v>11</v>
      </c>
      <c r="AN168" s="7" t="s">
        <v>151</v>
      </c>
      <c r="AO168" s="7">
        <v>12</v>
      </c>
      <c r="AP168" s="7" t="s">
        <v>151</v>
      </c>
      <c r="AQ168" s="7">
        <v>13</v>
      </c>
      <c r="AR168" s="7" t="s">
        <v>151</v>
      </c>
      <c r="AS168" s="7">
        <v>14</v>
      </c>
      <c r="AT168" s="7" t="s">
        <v>151</v>
      </c>
      <c r="AU168" s="7">
        <v>15</v>
      </c>
      <c r="AV168" s="7" t="s">
        <v>151</v>
      </c>
      <c r="AW168" s="7">
        <v>16</v>
      </c>
      <c r="AX168" s="7">
        <v>17</v>
      </c>
      <c r="AY168" s="7">
        <v>17</v>
      </c>
      <c r="AZ168" s="7">
        <v>18</v>
      </c>
      <c r="BA168" s="7">
        <v>18</v>
      </c>
      <c r="BB168" s="7">
        <v>19</v>
      </c>
      <c r="BC168" s="7">
        <v>19</v>
      </c>
      <c r="BD168" s="7">
        <v>20</v>
      </c>
      <c r="BE168" s="301">
        <v>20</v>
      </c>
      <c r="BF168" s="301">
        <v>21</v>
      </c>
      <c r="BG168" s="301">
        <v>21</v>
      </c>
      <c r="BH168" s="7">
        <v>22</v>
      </c>
      <c r="BI168" s="7">
        <v>22</v>
      </c>
      <c r="BJ168" s="7"/>
      <c r="BK168" s="7"/>
      <c r="BL168" s="7"/>
      <c r="BM168" s="20"/>
    </row>
    <row r="169" spans="1:65" ht="12.75">
      <c r="A169" s="246">
        <v>25</v>
      </c>
      <c r="B169" s="7">
        <v>1</v>
      </c>
      <c r="C169" s="7">
        <v>1</v>
      </c>
      <c r="D169" s="7" t="s">
        <v>151</v>
      </c>
      <c r="E169" s="7" t="s">
        <v>151</v>
      </c>
      <c r="F169" s="7">
        <v>2</v>
      </c>
      <c r="G169" s="7">
        <v>2</v>
      </c>
      <c r="H169" s="7" t="s">
        <v>151</v>
      </c>
      <c r="I169" s="7" t="s">
        <v>151</v>
      </c>
      <c r="J169" s="7">
        <v>3</v>
      </c>
      <c r="K169" s="7">
        <v>3</v>
      </c>
      <c r="L169" s="7" t="s">
        <v>151</v>
      </c>
      <c r="M169" s="7" t="s">
        <v>151</v>
      </c>
      <c r="N169" s="7">
        <v>4</v>
      </c>
      <c r="O169" s="7">
        <v>4</v>
      </c>
      <c r="P169" s="7" t="s">
        <v>151</v>
      </c>
      <c r="Q169" s="7" t="s">
        <v>151</v>
      </c>
      <c r="R169" s="7">
        <v>5</v>
      </c>
      <c r="S169" s="7">
        <v>5</v>
      </c>
      <c r="T169" s="7" t="s">
        <v>151</v>
      </c>
      <c r="U169" s="7" t="s">
        <v>151</v>
      </c>
      <c r="V169" s="7">
        <v>6</v>
      </c>
      <c r="W169" s="7">
        <v>6</v>
      </c>
      <c r="X169" s="7" t="s">
        <v>151</v>
      </c>
      <c r="Y169" s="7" t="s">
        <v>151</v>
      </c>
      <c r="Z169" s="7">
        <v>7</v>
      </c>
      <c r="AA169" s="7">
        <v>7</v>
      </c>
      <c r="AB169" s="7" t="s">
        <v>151</v>
      </c>
      <c r="AC169" s="7" t="s">
        <v>151</v>
      </c>
      <c r="AD169" s="7">
        <v>8</v>
      </c>
      <c r="AE169" s="7">
        <v>8</v>
      </c>
      <c r="AF169" s="7">
        <v>9</v>
      </c>
      <c r="AG169" s="7">
        <v>9</v>
      </c>
      <c r="AH169" s="7" t="s">
        <v>151</v>
      </c>
      <c r="AI169" s="7">
        <v>10</v>
      </c>
      <c r="AJ169" s="7" t="s">
        <v>151</v>
      </c>
      <c r="AK169" s="7">
        <v>11</v>
      </c>
      <c r="AL169" s="7" t="s">
        <v>151</v>
      </c>
      <c r="AM169" s="7">
        <v>12</v>
      </c>
      <c r="AN169" s="7" t="s">
        <v>151</v>
      </c>
      <c r="AO169" s="7">
        <v>13</v>
      </c>
      <c r="AP169" s="7" t="s">
        <v>151</v>
      </c>
      <c r="AQ169" s="7">
        <v>14</v>
      </c>
      <c r="AR169" s="7" t="s">
        <v>151</v>
      </c>
      <c r="AS169" s="7">
        <v>15</v>
      </c>
      <c r="AT169" s="7" t="s">
        <v>151</v>
      </c>
      <c r="AU169" s="7">
        <v>16</v>
      </c>
      <c r="AV169" s="7">
        <v>17</v>
      </c>
      <c r="AW169" s="7">
        <v>17</v>
      </c>
      <c r="AX169" s="7">
        <v>18</v>
      </c>
      <c r="AY169" s="7">
        <v>18</v>
      </c>
      <c r="AZ169" s="7">
        <v>19</v>
      </c>
      <c r="BA169" s="7">
        <v>19</v>
      </c>
      <c r="BB169" s="7">
        <v>20</v>
      </c>
      <c r="BC169" s="301">
        <v>20</v>
      </c>
      <c r="BD169" s="301">
        <v>21</v>
      </c>
      <c r="BE169" s="301">
        <v>21</v>
      </c>
      <c r="BF169" s="7">
        <v>22</v>
      </c>
      <c r="BG169" s="7">
        <v>22</v>
      </c>
      <c r="BH169" s="7">
        <v>23</v>
      </c>
      <c r="BI169" s="7">
        <v>23</v>
      </c>
      <c r="BJ169" s="7"/>
      <c r="BK169" s="7"/>
      <c r="BL169" s="7"/>
      <c r="BM169" s="20"/>
    </row>
    <row r="170" spans="1:65" ht="12.75">
      <c r="A170" s="246">
        <v>26</v>
      </c>
      <c r="B170" s="7">
        <v>1</v>
      </c>
      <c r="C170" s="7">
        <v>1</v>
      </c>
      <c r="D170" s="7" t="s">
        <v>151</v>
      </c>
      <c r="E170" s="7" t="s">
        <v>151</v>
      </c>
      <c r="F170" s="7">
        <v>2</v>
      </c>
      <c r="G170" s="7">
        <v>2</v>
      </c>
      <c r="H170" s="7" t="s">
        <v>151</v>
      </c>
      <c r="I170" s="7" t="s">
        <v>151</v>
      </c>
      <c r="J170" s="7">
        <v>3</v>
      </c>
      <c r="K170" s="7">
        <v>3</v>
      </c>
      <c r="L170" s="7" t="s">
        <v>151</v>
      </c>
      <c r="M170" s="7" t="s">
        <v>151</v>
      </c>
      <c r="N170" s="7">
        <v>4</v>
      </c>
      <c r="O170" s="7">
        <v>4</v>
      </c>
      <c r="P170" s="7">
        <v>5</v>
      </c>
      <c r="Q170" s="7">
        <v>5</v>
      </c>
      <c r="R170" s="7">
        <v>6</v>
      </c>
      <c r="S170" s="7">
        <v>6</v>
      </c>
      <c r="T170" s="7" t="s">
        <v>151</v>
      </c>
      <c r="U170" s="7" t="s">
        <v>151</v>
      </c>
      <c r="V170" s="7">
        <v>7</v>
      </c>
      <c r="W170" s="7">
        <v>7</v>
      </c>
      <c r="X170" s="7" t="s">
        <v>151</v>
      </c>
      <c r="Y170" s="7" t="s">
        <v>151</v>
      </c>
      <c r="Z170" s="7">
        <v>8</v>
      </c>
      <c r="AA170" s="7">
        <v>8</v>
      </c>
      <c r="AB170" s="7" t="s">
        <v>151</v>
      </c>
      <c r="AC170" s="7" t="s">
        <v>151</v>
      </c>
      <c r="AD170" s="7">
        <v>9</v>
      </c>
      <c r="AE170" s="7">
        <v>9</v>
      </c>
      <c r="AF170" s="7">
        <v>10</v>
      </c>
      <c r="AG170" s="7">
        <v>10</v>
      </c>
      <c r="AH170" s="7" t="s">
        <v>151</v>
      </c>
      <c r="AI170" s="7">
        <v>11</v>
      </c>
      <c r="AJ170" s="7" t="s">
        <v>151</v>
      </c>
      <c r="AK170" s="7">
        <v>12</v>
      </c>
      <c r="AL170" s="7" t="s">
        <v>151</v>
      </c>
      <c r="AM170" s="7">
        <v>13</v>
      </c>
      <c r="AN170" s="7">
        <v>14</v>
      </c>
      <c r="AO170" s="7">
        <v>14</v>
      </c>
      <c r="AP170" s="7" t="s">
        <v>151</v>
      </c>
      <c r="AQ170" s="7">
        <v>15</v>
      </c>
      <c r="AR170" s="7" t="s">
        <v>151</v>
      </c>
      <c r="AS170" s="7">
        <v>16</v>
      </c>
      <c r="AT170" s="7" t="s">
        <v>151</v>
      </c>
      <c r="AU170" s="7">
        <v>17</v>
      </c>
      <c r="AV170" s="7">
        <v>18</v>
      </c>
      <c r="AW170" s="7">
        <v>18</v>
      </c>
      <c r="AX170" s="7">
        <v>19</v>
      </c>
      <c r="AY170" s="7">
        <v>19</v>
      </c>
      <c r="AZ170" s="7">
        <v>20</v>
      </c>
      <c r="BA170" s="301">
        <v>20</v>
      </c>
      <c r="BB170" s="301">
        <v>21</v>
      </c>
      <c r="BC170" s="301">
        <v>21</v>
      </c>
      <c r="BD170" s="7">
        <v>22</v>
      </c>
      <c r="BE170" s="7">
        <v>22</v>
      </c>
      <c r="BF170" s="7">
        <v>23</v>
      </c>
      <c r="BG170" s="7">
        <v>23</v>
      </c>
      <c r="BH170" s="7">
        <v>24</v>
      </c>
      <c r="BI170" s="7">
        <v>24</v>
      </c>
      <c r="BJ170" s="7"/>
      <c r="BK170" s="7"/>
      <c r="BL170" s="7"/>
      <c r="BM170" s="20"/>
    </row>
    <row r="171" spans="1:65" ht="12.75">
      <c r="A171" s="246">
        <v>27</v>
      </c>
      <c r="B171" s="7">
        <v>1</v>
      </c>
      <c r="C171" s="7">
        <v>1</v>
      </c>
      <c r="D171" s="7" t="s">
        <v>151</v>
      </c>
      <c r="E171" s="7" t="s">
        <v>151</v>
      </c>
      <c r="F171" s="7">
        <v>2</v>
      </c>
      <c r="G171" s="7">
        <v>2</v>
      </c>
      <c r="H171" s="7" t="s">
        <v>151</v>
      </c>
      <c r="I171" s="7" t="s">
        <v>151</v>
      </c>
      <c r="J171" s="7">
        <v>3</v>
      </c>
      <c r="K171" s="7">
        <v>3</v>
      </c>
      <c r="L171" s="7" t="s">
        <v>151</v>
      </c>
      <c r="M171" s="7" t="s">
        <v>151</v>
      </c>
      <c r="N171" s="7">
        <v>4</v>
      </c>
      <c r="O171" s="7">
        <v>4</v>
      </c>
      <c r="P171" s="7">
        <v>5</v>
      </c>
      <c r="Q171" s="7">
        <v>5</v>
      </c>
      <c r="R171" s="7">
        <v>6</v>
      </c>
      <c r="S171" s="7">
        <v>6</v>
      </c>
      <c r="T171" s="7" t="s">
        <v>151</v>
      </c>
      <c r="U171" s="7" t="s">
        <v>151</v>
      </c>
      <c r="V171" s="7">
        <v>7</v>
      </c>
      <c r="W171" s="7">
        <v>7</v>
      </c>
      <c r="X171" s="7">
        <v>8</v>
      </c>
      <c r="Y171" s="7">
        <v>8</v>
      </c>
      <c r="Z171" s="7">
        <v>9</v>
      </c>
      <c r="AA171" s="7">
        <v>9</v>
      </c>
      <c r="AB171" s="7" t="s">
        <v>151</v>
      </c>
      <c r="AC171" s="7" t="s">
        <v>151</v>
      </c>
      <c r="AD171" s="7">
        <v>10</v>
      </c>
      <c r="AE171" s="7">
        <v>10</v>
      </c>
      <c r="AF171" s="7">
        <v>11</v>
      </c>
      <c r="AG171" s="7">
        <v>12</v>
      </c>
      <c r="AH171" s="7" t="s">
        <v>151</v>
      </c>
      <c r="AI171" s="7">
        <v>13</v>
      </c>
      <c r="AJ171" s="7" t="s">
        <v>151</v>
      </c>
      <c r="AK171" s="7">
        <v>14</v>
      </c>
      <c r="AL171" s="7" t="s">
        <v>151</v>
      </c>
      <c r="AM171" s="7">
        <v>15</v>
      </c>
      <c r="AN171" s="7">
        <v>16</v>
      </c>
      <c r="AO171" s="7">
        <v>16</v>
      </c>
      <c r="AP171" s="7" t="s">
        <v>151</v>
      </c>
      <c r="AQ171" s="7">
        <v>17</v>
      </c>
      <c r="AR171" s="7">
        <v>18</v>
      </c>
      <c r="AS171" s="7">
        <v>18</v>
      </c>
      <c r="AT171" s="7" t="s">
        <v>151</v>
      </c>
      <c r="AU171" s="7">
        <v>19</v>
      </c>
      <c r="AV171" s="7">
        <v>20</v>
      </c>
      <c r="AW171" s="7">
        <v>20</v>
      </c>
      <c r="AX171" s="7">
        <v>21</v>
      </c>
      <c r="AY171" s="7">
        <v>21</v>
      </c>
      <c r="AZ171" s="7">
        <v>22</v>
      </c>
      <c r="BA171" s="7">
        <v>22</v>
      </c>
      <c r="BB171" s="7">
        <v>23</v>
      </c>
      <c r="BC171" s="7">
        <v>23</v>
      </c>
      <c r="BD171" s="7">
        <v>24</v>
      </c>
      <c r="BE171" s="7">
        <v>24</v>
      </c>
      <c r="BF171" s="7">
        <v>25</v>
      </c>
      <c r="BG171" s="7">
        <v>25</v>
      </c>
      <c r="BH171" s="7">
        <v>26</v>
      </c>
      <c r="BI171" s="7">
        <v>26</v>
      </c>
      <c r="BJ171" s="7"/>
      <c r="BK171" s="7"/>
      <c r="BL171" s="7"/>
      <c r="BM171" s="20"/>
    </row>
    <row r="172" spans="1:65" ht="12.75">
      <c r="A172" s="246">
        <v>28</v>
      </c>
      <c r="B172" s="7">
        <v>1</v>
      </c>
      <c r="C172" s="7">
        <v>1</v>
      </c>
      <c r="D172" s="7">
        <v>2</v>
      </c>
      <c r="E172" s="7">
        <v>2</v>
      </c>
      <c r="F172" s="7">
        <v>3</v>
      </c>
      <c r="G172" s="7">
        <v>3</v>
      </c>
      <c r="H172" s="7">
        <v>4</v>
      </c>
      <c r="I172" s="7">
        <v>4</v>
      </c>
      <c r="J172" s="7">
        <v>5</v>
      </c>
      <c r="K172" s="7">
        <v>5</v>
      </c>
      <c r="L172" s="7">
        <v>6</v>
      </c>
      <c r="M172" s="7">
        <v>6</v>
      </c>
      <c r="N172" s="7" t="s">
        <v>151</v>
      </c>
      <c r="O172" s="7" t="s">
        <v>151</v>
      </c>
      <c r="P172" s="7" t="s">
        <v>151</v>
      </c>
      <c r="Q172" s="7" t="s">
        <v>151</v>
      </c>
      <c r="R172" s="7">
        <v>7</v>
      </c>
      <c r="S172" s="7">
        <v>7</v>
      </c>
      <c r="T172" s="7">
        <v>8</v>
      </c>
      <c r="U172" s="7">
        <v>8</v>
      </c>
      <c r="V172" s="7">
        <v>9</v>
      </c>
      <c r="W172" s="7">
        <v>9</v>
      </c>
      <c r="X172" s="7">
        <v>10</v>
      </c>
      <c r="Y172" s="7">
        <v>10</v>
      </c>
      <c r="Z172" s="7">
        <v>11</v>
      </c>
      <c r="AA172" s="7">
        <v>11</v>
      </c>
      <c r="AB172" s="7">
        <v>12</v>
      </c>
      <c r="AC172" s="7">
        <v>12</v>
      </c>
      <c r="AD172" s="7" t="s">
        <v>151</v>
      </c>
      <c r="AE172" s="7" t="s">
        <v>151</v>
      </c>
      <c r="AF172" s="7" t="s">
        <v>151</v>
      </c>
      <c r="AG172" s="7" t="s">
        <v>151</v>
      </c>
      <c r="AH172" s="7">
        <v>13</v>
      </c>
      <c r="AI172" s="7">
        <v>13</v>
      </c>
      <c r="AJ172" s="7">
        <v>14</v>
      </c>
      <c r="AK172" s="7">
        <v>14</v>
      </c>
      <c r="AL172" s="7">
        <v>15</v>
      </c>
      <c r="AM172" s="7">
        <v>15</v>
      </c>
      <c r="AN172" s="7">
        <v>16</v>
      </c>
      <c r="AO172" s="7">
        <v>16</v>
      </c>
      <c r="AP172" s="7">
        <v>17</v>
      </c>
      <c r="AQ172" s="7">
        <v>17</v>
      </c>
      <c r="AR172" s="7">
        <v>18</v>
      </c>
      <c r="AS172" s="7">
        <v>18</v>
      </c>
      <c r="AT172" s="7">
        <v>19</v>
      </c>
      <c r="AU172" s="7">
        <v>19</v>
      </c>
      <c r="AV172" s="7">
        <v>20</v>
      </c>
      <c r="AW172" s="7">
        <v>20</v>
      </c>
      <c r="AX172" s="7">
        <v>21</v>
      </c>
      <c r="AY172" s="7">
        <v>21</v>
      </c>
      <c r="AZ172" s="7">
        <v>22</v>
      </c>
      <c r="BA172" s="7">
        <v>22</v>
      </c>
      <c r="BB172" s="7">
        <v>23</v>
      </c>
      <c r="BC172" s="7">
        <v>23</v>
      </c>
      <c r="BD172" s="7">
        <v>24</v>
      </c>
      <c r="BE172" s="7">
        <v>24</v>
      </c>
      <c r="BF172" s="7">
        <v>25</v>
      </c>
      <c r="BG172" s="7">
        <v>25</v>
      </c>
      <c r="BH172" s="7">
        <v>26</v>
      </c>
      <c r="BI172" s="7">
        <v>26</v>
      </c>
      <c r="BJ172" s="7"/>
      <c r="BK172" s="7"/>
      <c r="BL172" s="7"/>
      <c r="BM172" s="20"/>
    </row>
    <row r="173" spans="1:65" ht="12.75">
      <c r="A173" s="246">
        <v>29</v>
      </c>
      <c r="B173" s="7">
        <v>1</v>
      </c>
      <c r="C173" s="7">
        <v>1</v>
      </c>
      <c r="D173" s="7">
        <v>2</v>
      </c>
      <c r="E173" s="7">
        <v>2</v>
      </c>
      <c r="F173" s="7">
        <v>3</v>
      </c>
      <c r="G173" s="7">
        <v>3</v>
      </c>
      <c r="H173" s="7">
        <v>4</v>
      </c>
      <c r="I173" s="7">
        <v>4</v>
      </c>
      <c r="J173" s="7">
        <v>5</v>
      </c>
      <c r="K173" s="7">
        <v>5</v>
      </c>
      <c r="L173" s="7">
        <v>6</v>
      </c>
      <c r="M173" s="7">
        <v>6</v>
      </c>
      <c r="N173" s="7">
        <v>7</v>
      </c>
      <c r="O173" s="7">
        <v>7</v>
      </c>
      <c r="P173" s="7" t="s">
        <v>151</v>
      </c>
      <c r="Q173" s="7" t="s">
        <v>151</v>
      </c>
      <c r="R173" s="7">
        <v>8</v>
      </c>
      <c r="S173" s="7">
        <v>8</v>
      </c>
      <c r="T173" s="7">
        <v>9</v>
      </c>
      <c r="U173" s="7">
        <v>9</v>
      </c>
      <c r="V173" s="7">
        <v>10</v>
      </c>
      <c r="W173" s="7">
        <v>10</v>
      </c>
      <c r="X173" s="7">
        <v>11</v>
      </c>
      <c r="Y173" s="7">
        <v>11</v>
      </c>
      <c r="Z173" s="7">
        <v>12</v>
      </c>
      <c r="AA173" s="7">
        <v>12</v>
      </c>
      <c r="AB173" s="7">
        <v>13</v>
      </c>
      <c r="AC173" s="7">
        <v>13</v>
      </c>
      <c r="AD173" s="7" t="s">
        <v>151</v>
      </c>
      <c r="AE173" s="7" t="s">
        <v>151</v>
      </c>
      <c r="AF173" s="7" t="s">
        <v>151</v>
      </c>
      <c r="AG173" s="7" t="s">
        <v>151</v>
      </c>
      <c r="AH173" s="7">
        <v>14</v>
      </c>
      <c r="AI173" s="7">
        <v>14</v>
      </c>
      <c r="AJ173" s="7">
        <v>15</v>
      </c>
      <c r="AK173" s="7">
        <v>15</v>
      </c>
      <c r="AL173" s="7">
        <v>16</v>
      </c>
      <c r="AM173" s="7" t="s">
        <v>151</v>
      </c>
      <c r="AN173" s="7" t="s">
        <v>151</v>
      </c>
      <c r="AO173" s="7">
        <v>17</v>
      </c>
      <c r="AP173" s="7">
        <v>18</v>
      </c>
      <c r="AQ173" s="7">
        <v>18</v>
      </c>
      <c r="AR173" s="7">
        <v>19</v>
      </c>
      <c r="AS173" s="7">
        <v>19</v>
      </c>
      <c r="AT173" s="7">
        <v>20</v>
      </c>
      <c r="AU173" s="7">
        <v>20</v>
      </c>
      <c r="AV173" s="7">
        <v>21</v>
      </c>
      <c r="AW173" s="7">
        <v>21</v>
      </c>
      <c r="AX173" s="7">
        <v>22</v>
      </c>
      <c r="AY173" s="7">
        <v>22</v>
      </c>
      <c r="AZ173" s="7">
        <v>23</v>
      </c>
      <c r="BA173" s="7">
        <v>23</v>
      </c>
      <c r="BB173" s="7">
        <v>24</v>
      </c>
      <c r="BC173" s="7">
        <v>24</v>
      </c>
      <c r="BD173" s="7">
        <v>25</v>
      </c>
      <c r="BE173" s="7">
        <v>25</v>
      </c>
      <c r="BF173" s="7">
        <v>26</v>
      </c>
      <c r="BG173" s="7">
        <v>26</v>
      </c>
      <c r="BH173" s="7">
        <v>27</v>
      </c>
      <c r="BI173" s="7">
        <v>27</v>
      </c>
      <c r="BJ173" s="7"/>
      <c r="BK173" s="7"/>
      <c r="BL173" s="7"/>
      <c r="BM173" s="20"/>
    </row>
    <row r="174" spans="1:65" ht="12.75">
      <c r="A174" s="246">
        <v>30</v>
      </c>
      <c r="B174" s="7">
        <v>1</v>
      </c>
      <c r="C174" s="7">
        <v>1</v>
      </c>
      <c r="D174" s="7">
        <v>2</v>
      </c>
      <c r="E174" s="7">
        <v>2</v>
      </c>
      <c r="F174" s="7">
        <v>3</v>
      </c>
      <c r="G174" s="7">
        <v>3</v>
      </c>
      <c r="H174" s="7">
        <v>4</v>
      </c>
      <c r="I174" s="7">
        <v>4</v>
      </c>
      <c r="J174" s="7">
        <v>5</v>
      </c>
      <c r="K174" s="7">
        <v>5</v>
      </c>
      <c r="L174" s="7">
        <v>6</v>
      </c>
      <c r="M174" s="7">
        <v>6</v>
      </c>
      <c r="N174" s="7">
        <v>7</v>
      </c>
      <c r="O174" s="7">
        <v>7</v>
      </c>
      <c r="P174" s="7" t="s">
        <v>151</v>
      </c>
      <c r="Q174" s="7" t="s">
        <v>151</v>
      </c>
      <c r="R174" s="7">
        <v>8</v>
      </c>
      <c r="S174" s="7">
        <v>8</v>
      </c>
      <c r="T174" s="7">
        <v>9</v>
      </c>
      <c r="U174" s="7">
        <v>9</v>
      </c>
      <c r="V174" s="7">
        <v>10</v>
      </c>
      <c r="W174" s="7">
        <v>10</v>
      </c>
      <c r="X174" s="7">
        <v>11</v>
      </c>
      <c r="Y174" s="7">
        <v>11</v>
      </c>
      <c r="Z174" s="7">
        <v>12</v>
      </c>
      <c r="AA174" s="7">
        <v>12</v>
      </c>
      <c r="AB174" s="7">
        <v>13</v>
      </c>
      <c r="AC174" s="7">
        <v>13</v>
      </c>
      <c r="AD174" s="7">
        <v>14</v>
      </c>
      <c r="AE174" s="7">
        <v>14</v>
      </c>
      <c r="AF174" s="7" t="s">
        <v>151</v>
      </c>
      <c r="AG174" s="7" t="s">
        <v>151</v>
      </c>
      <c r="AH174" s="7">
        <v>15</v>
      </c>
      <c r="AI174" s="7">
        <v>15</v>
      </c>
      <c r="AJ174" s="7">
        <v>16</v>
      </c>
      <c r="AK174" s="7" t="s">
        <v>151</v>
      </c>
      <c r="AL174" s="7" t="s">
        <v>151</v>
      </c>
      <c r="AM174" s="7" t="s">
        <v>151</v>
      </c>
      <c r="AN174" s="7" t="s">
        <v>151</v>
      </c>
      <c r="AO174" s="7">
        <v>18</v>
      </c>
      <c r="AP174" s="7">
        <v>19</v>
      </c>
      <c r="AQ174" s="7">
        <v>19</v>
      </c>
      <c r="AR174" s="7">
        <v>20</v>
      </c>
      <c r="AS174" s="7">
        <v>20</v>
      </c>
      <c r="AT174" s="7">
        <v>21</v>
      </c>
      <c r="AU174" s="7">
        <v>21</v>
      </c>
      <c r="AV174" s="7" t="s">
        <v>151</v>
      </c>
      <c r="AW174" s="7">
        <v>22</v>
      </c>
      <c r="AX174" s="7">
        <v>23</v>
      </c>
      <c r="AY174" s="7">
        <v>23</v>
      </c>
      <c r="AZ174" s="7">
        <v>24</v>
      </c>
      <c r="BA174" s="7">
        <v>24</v>
      </c>
      <c r="BB174" s="7">
        <v>25</v>
      </c>
      <c r="BC174" s="7">
        <v>25</v>
      </c>
      <c r="BD174" s="7">
        <v>26</v>
      </c>
      <c r="BE174" s="7">
        <v>26</v>
      </c>
      <c r="BF174" s="7">
        <v>27</v>
      </c>
      <c r="BG174" s="7">
        <v>27</v>
      </c>
      <c r="BH174" s="7">
        <v>28</v>
      </c>
      <c r="BI174" s="7">
        <v>28</v>
      </c>
      <c r="BJ174" s="7"/>
      <c r="BK174" s="7"/>
      <c r="BL174" s="7"/>
      <c r="BM174" s="20"/>
    </row>
    <row r="175" spans="1:65" ht="12.75">
      <c r="A175" s="246">
        <v>31</v>
      </c>
      <c r="B175" s="7">
        <v>1</v>
      </c>
      <c r="C175" s="7">
        <v>1</v>
      </c>
      <c r="D175" s="7">
        <v>2</v>
      </c>
      <c r="E175" s="7">
        <v>2</v>
      </c>
      <c r="F175" s="7">
        <v>3</v>
      </c>
      <c r="G175" s="7">
        <v>3</v>
      </c>
      <c r="H175" s="7">
        <v>4</v>
      </c>
      <c r="I175" s="7">
        <v>4</v>
      </c>
      <c r="J175" s="7">
        <v>5</v>
      </c>
      <c r="K175" s="7">
        <v>5</v>
      </c>
      <c r="L175" s="7">
        <v>6</v>
      </c>
      <c r="M175" s="7">
        <v>6</v>
      </c>
      <c r="N175" s="7">
        <v>7</v>
      </c>
      <c r="O175" s="7">
        <v>7</v>
      </c>
      <c r="P175" s="7">
        <v>8</v>
      </c>
      <c r="Q175" s="7">
        <v>8</v>
      </c>
      <c r="R175" s="7">
        <v>9</v>
      </c>
      <c r="S175" s="7">
        <v>9</v>
      </c>
      <c r="T175" s="7">
        <v>10</v>
      </c>
      <c r="U175" s="7">
        <v>10</v>
      </c>
      <c r="V175" s="7">
        <v>11</v>
      </c>
      <c r="W175" s="7">
        <v>11</v>
      </c>
      <c r="X175" s="7">
        <v>12</v>
      </c>
      <c r="Y175" s="7">
        <v>12</v>
      </c>
      <c r="Z175" s="7">
        <v>13</v>
      </c>
      <c r="AA175" s="7">
        <v>13</v>
      </c>
      <c r="AB175" s="7">
        <v>14</v>
      </c>
      <c r="AC175" s="7">
        <v>14</v>
      </c>
      <c r="AD175" s="7">
        <v>15</v>
      </c>
      <c r="AE175" s="7">
        <v>15</v>
      </c>
      <c r="AF175" s="7" t="s">
        <v>151</v>
      </c>
      <c r="AG175" s="7" t="s">
        <v>151</v>
      </c>
      <c r="AH175" s="7">
        <v>16</v>
      </c>
      <c r="AI175" s="7" t="s">
        <v>151</v>
      </c>
      <c r="AJ175" s="7" t="s">
        <v>151</v>
      </c>
      <c r="AK175" s="7" t="s">
        <v>151</v>
      </c>
      <c r="AL175" s="7" t="s">
        <v>151</v>
      </c>
      <c r="AM175" s="7" t="s">
        <v>151</v>
      </c>
      <c r="AN175" s="7" t="s">
        <v>151</v>
      </c>
      <c r="AO175" s="7">
        <v>19</v>
      </c>
      <c r="AP175" s="7">
        <v>20</v>
      </c>
      <c r="AQ175" s="7">
        <v>20</v>
      </c>
      <c r="AR175" s="7">
        <v>21</v>
      </c>
      <c r="AS175" s="7">
        <v>21</v>
      </c>
      <c r="AT175" s="7">
        <v>22</v>
      </c>
      <c r="AU175" s="7">
        <v>22</v>
      </c>
      <c r="AV175" s="7" t="s">
        <v>151</v>
      </c>
      <c r="AW175" s="7">
        <v>23</v>
      </c>
      <c r="AX175" s="7">
        <v>24</v>
      </c>
      <c r="AY175" s="7">
        <v>24</v>
      </c>
      <c r="AZ175" s="7">
        <v>25</v>
      </c>
      <c r="BA175" s="7">
        <v>25</v>
      </c>
      <c r="BB175" s="7">
        <v>26</v>
      </c>
      <c r="BC175" s="7">
        <v>26</v>
      </c>
      <c r="BD175" s="7">
        <v>27</v>
      </c>
      <c r="BE175" s="7">
        <v>27</v>
      </c>
      <c r="BF175" s="7">
        <v>28</v>
      </c>
      <c r="BG175" s="7">
        <v>28</v>
      </c>
      <c r="BH175" s="7">
        <v>29</v>
      </c>
      <c r="BI175" s="7">
        <v>29</v>
      </c>
      <c r="BJ175" s="7"/>
      <c r="BK175" s="7"/>
      <c r="BL175" s="7"/>
      <c r="BM175" s="20"/>
    </row>
    <row r="176" spans="1:65" ht="13.5" thickBot="1">
      <c r="A176" s="247">
        <v>32</v>
      </c>
      <c r="B176" s="38">
        <v>1</v>
      </c>
      <c r="C176" s="38">
        <v>1</v>
      </c>
      <c r="D176" s="38">
        <v>2</v>
      </c>
      <c r="E176" s="38">
        <v>2</v>
      </c>
      <c r="F176" s="38">
        <v>3</v>
      </c>
      <c r="G176" s="38">
        <v>3</v>
      </c>
      <c r="H176" s="38">
        <v>4</v>
      </c>
      <c r="I176" s="38">
        <v>4</v>
      </c>
      <c r="J176" s="38">
        <v>5</v>
      </c>
      <c r="K176" s="38">
        <v>5</v>
      </c>
      <c r="L176" s="38">
        <v>6</v>
      </c>
      <c r="M176" s="38">
        <v>6</v>
      </c>
      <c r="N176" s="38">
        <v>7</v>
      </c>
      <c r="O176" s="38">
        <v>7</v>
      </c>
      <c r="P176" s="38">
        <v>8</v>
      </c>
      <c r="Q176" s="38">
        <v>8</v>
      </c>
      <c r="R176" s="38">
        <v>9</v>
      </c>
      <c r="S176" s="38">
        <v>9</v>
      </c>
      <c r="T176" s="38">
        <v>10</v>
      </c>
      <c r="U176" s="38">
        <v>10</v>
      </c>
      <c r="V176" s="38">
        <v>11</v>
      </c>
      <c r="W176" s="38">
        <v>11</v>
      </c>
      <c r="X176" s="38">
        <v>12</v>
      </c>
      <c r="Y176" s="38">
        <v>12</v>
      </c>
      <c r="Z176" s="38">
        <v>13</v>
      </c>
      <c r="AA176" s="38">
        <v>13</v>
      </c>
      <c r="AB176" s="38">
        <v>14</v>
      </c>
      <c r="AC176" s="38">
        <v>14</v>
      </c>
      <c r="AD176" s="38">
        <v>15</v>
      </c>
      <c r="AE176" s="38">
        <v>15</v>
      </c>
      <c r="AF176" s="38">
        <v>16</v>
      </c>
      <c r="AG176" s="38" t="s">
        <v>151</v>
      </c>
      <c r="AH176" s="38" t="s">
        <v>151</v>
      </c>
      <c r="AI176" s="38" t="s">
        <v>151</v>
      </c>
      <c r="AJ176" s="38" t="s">
        <v>151</v>
      </c>
      <c r="AK176" s="38" t="s">
        <v>151</v>
      </c>
      <c r="AL176" s="38" t="s">
        <v>151</v>
      </c>
      <c r="AM176" s="38" t="s">
        <v>151</v>
      </c>
      <c r="AN176" s="38" t="s">
        <v>151</v>
      </c>
      <c r="AO176" s="38">
        <v>20</v>
      </c>
      <c r="AP176" s="38">
        <v>21</v>
      </c>
      <c r="AQ176" s="38">
        <v>21</v>
      </c>
      <c r="AR176" s="38">
        <v>22</v>
      </c>
      <c r="AS176" s="38">
        <v>22</v>
      </c>
      <c r="AT176" s="38">
        <v>23</v>
      </c>
      <c r="AU176" s="38">
        <v>23</v>
      </c>
      <c r="AV176" s="38" t="s">
        <v>151</v>
      </c>
      <c r="AW176" s="38" t="s">
        <v>151</v>
      </c>
      <c r="AX176" s="38">
        <v>25</v>
      </c>
      <c r="AY176" s="38">
        <v>25</v>
      </c>
      <c r="AZ176" s="38">
        <v>26</v>
      </c>
      <c r="BA176" s="38">
        <v>26</v>
      </c>
      <c r="BB176" s="38">
        <v>27</v>
      </c>
      <c r="BC176" s="38">
        <v>27</v>
      </c>
      <c r="BD176" s="38">
        <v>28</v>
      </c>
      <c r="BE176" s="38">
        <v>28</v>
      </c>
      <c r="BF176" s="38">
        <v>29</v>
      </c>
      <c r="BG176" s="38">
        <v>29</v>
      </c>
      <c r="BH176" s="38">
        <v>30</v>
      </c>
      <c r="BI176" s="38">
        <v>30</v>
      </c>
      <c r="BJ176" s="38"/>
      <c r="BK176" s="38"/>
      <c r="BL176" s="38"/>
      <c r="BM176" s="30"/>
    </row>
    <row r="177" spans="1:65" ht="12.75">
      <c r="A177" s="243">
        <v>1</v>
      </c>
      <c r="B177">
        <f>IF(ISERROR(VLOOKUP(B144,#REF!,2,FALSE)),"",VLOOKUP(B144,#REF!,2,FALSE))</f>
      </c>
      <c r="C177">
        <f>IF(ISERROR(VLOOKUP(C144,#REF!,2,FALSE)),"",VLOOKUP(C144,#REF!,2,FALSE))</f>
      </c>
      <c r="D177">
        <f>IF(ISERROR(VLOOKUP(D144,#REF!,2,FALSE)),"",VLOOKUP(D144,#REF!,2,FALSE))</f>
      </c>
      <c r="E177">
        <f>IF(ISERROR(VLOOKUP(E144,#REF!,2,FALSE)),"",VLOOKUP(E144,#REF!,2,FALSE))</f>
      </c>
      <c r="F177">
        <f>IF(ISERROR(VLOOKUP(F144,#REF!,2,FALSE)),"",VLOOKUP(F144,#REF!,2,FALSE))</f>
      </c>
      <c r="G177">
        <f>IF(ISERROR(VLOOKUP(G144,#REF!,2,FALSE)),"",VLOOKUP(G144,#REF!,2,FALSE))</f>
      </c>
      <c r="H177">
        <f>IF(ISERROR(VLOOKUP(H144,#REF!,2,FALSE)),"",VLOOKUP(H144,#REF!,2,FALSE))</f>
      </c>
      <c r="I177">
        <f>IF(ISERROR(VLOOKUP(I144,#REF!,2,FALSE)),"",VLOOKUP(I144,#REF!,2,FALSE))</f>
      </c>
      <c r="J177">
        <f>IF(ISERROR(VLOOKUP(J144,#REF!,2,FALSE)),"",VLOOKUP(J144,#REF!,2,FALSE))</f>
      </c>
      <c r="K177">
        <f>IF(ISERROR(VLOOKUP(K144,#REF!,2,FALSE)),"",VLOOKUP(K144,#REF!,2,FALSE))</f>
      </c>
      <c r="L177">
        <f>IF(ISERROR(VLOOKUP(L144,#REF!,2,FALSE)),"",VLOOKUP(L144,#REF!,2,FALSE))</f>
      </c>
      <c r="M177">
        <f>IF(ISERROR(VLOOKUP(M144,#REF!,2,FALSE)),"",VLOOKUP(M144,#REF!,2,FALSE))</f>
      </c>
      <c r="N177">
        <f>IF(ISERROR(VLOOKUP(N144,#REF!,2,FALSE)),"",VLOOKUP(N144,#REF!,2,FALSE))</f>
      </c>
      <c r="O177">
        <f>IF(ISERROR(VLOOKUP(O144,#REF!,2,FALSE)),"",VLOOKUP(O144,#REF!,2,FALSE))</f>
      </c>
      <c r="P177">
        <f>IF(ISERROR(VLOOKUP(P144,#REF!,2,FALSE)),"",VLOOKUP(P144,#REF!,2,FALSE))</f>
      </c>
      <c r="Q177">
        <f>IF(ISERROR(VLOOKUP(Q144,#REF!,2,FALSE)),"",VLOOKUP(Q144,#REF!,2,FALSE))</f>
      </c>
      <c r="R177">
        <f>IF(ISERROR(VLOOKUP(R144,#REF!,2,FALSE)),"",VLOOKUP(R144,#REF!,2,FALSE))</f>
      </c>
      <c r="S177">
        <f>IF(ISERROR(VLOOKUP(S144,#REF!,2,FALSE)),"",VLOOKUP(S144,#REF!,2,FALSE))</f>
      </c>
      <c r="T177">
        <f>IF(ISERROR(VLOOKUP(T144,#REF!,2,FALSE)),"",VLOOKUP(T144,#REF!,2,FALSE))</f>
      </c>
      <c r="U177">
        <f>IF(ISERROR(VLOOKUP(U144,#REF!,2,FALSE)),"",VLOOKUP(U144,#REF!,2,FALSE))</f>
      </c>
      <c r="V177">
        <f>IF(ISERROR(VLOOKUP(V144,#REF!,2,FALSE)),"",VLOOKUP(V144,#REF!,2,FALSE))</f>
      </c>
      <c r="W177">
        <f>IF(ISERROR(VLOOKUP(W144,#REF!,2,FALSE)),"",VLOOKUP(W144,#REF!,2,FALSE))</f>
      </c>
      <c r="X177">
        <f>IF(ISERROR(VLOOKUP(X144,#REF!,2,FALSE)),"",VLOOKUP(X144,#REF!,2,FALSE))</f>
      </c>
      <c r="Y177">
        <f>IF(ISERROR(VLOOKUP(Y144,#REF!,2,FALSE)),"",VLOOKUP(Y144,#REF!,2,FALSE))</f>
      </c>
      <c r="Z177">
        <f>IF(ISERROR(VLOOKUP(Z144,#REF!,2,FALSE)),"",VLOOKUP(Z144,#REF!,2,FALSE))</f>
      </c>
      <c r="AA177">
        <f>IF(ISERROR(VLOOKUP(AA144,#REF!,2,FALSE)),"",VLOOKUP(AA144,#REF!,2,FALSE))</f>
      </c>
      <c r="AB177">
        <f>IF(ISERROR(VLOOKUP(AB144,#REF!,2,FALSE)),"",VLOOKUP(AB144,#REF!,2,FALSE))</f>
      </c>
      <c r="AC177">
        <f>IF(ISERROR(VLOOKUP(AC144,#REF!,2,FALSE)),"",VLOOKUP(AC144,#REF!,2,FALSE))</f>
      </c>
      <c r="AD177">
        <f>IF(ISERROR(VLOOKUP(AD144,#REF!,2,FALSE)),"",VLOOKUP(AD144,#REF!,2,FALSE))</f>
      </c>
      <c r="AE177">
        <f>IF(ISERROR(VLOOKUP(AE144,#REF!,2,FALSE)),"",VLOOKUP(AE144,#REF!,2,FALSE))</f>
      </c>
      <c r="AF177">
        <f>IF(ISERROR(VLOOKUP(AF144,#REF!,2,FALSE)),"",VLOOKUP(AF144,#REF!,2,FALSE))</f>
      </c>
      <c r="AG177">
        <f>IF(ISERROR(VLOOKUP(AG144,#REF!,2,FALSE)),"",VLOOKUP(AG144,#REF!,2,FALSE))</f>
      </c>
      <c r="AH177">
        <f>IF(ISERROR(VLOOKUP(AH144,#REF!,2,FALSE)),"",VLOOKUP(AH144,#REF!,2,FALSE))</f>
      </c>
      <c r="AI177">
        <f>IF(ISERROR(VLOOKUP(AI144,#REF!,2,FALSE)),"",VLOOKUP(AI144,#REF!,2,FALSE))</f>
      </c>
      <c r="AJ177">
        <f>IF(ISERROR(VLOOKUP(AJ144,#REF!,2,FALSE)),"",VLOOKUP(AJ144,#REF!,2,FALSE))</f>
      </c>
      <c r="AK177">
        <f>IF(ISERROR(VLOOKUP(AK144,#REF!,2,FALSE)),"",VLOOKUP(AK144,#REF!,2,FALSE))</f>
      </c>
      <c r="AL177">
        <f>IF(ISERROR(VLOOKUP(AL144,#REF!,2,FALSE)),"",VLOOKUP(AL144,#REF!,2,FALSE))</f>
      </c>
      <c r="AM177">
        <f>IF(ISERROR(VLOOKUP(AM144,#REF!,2,FALSE)),"",VLOOKUP(AM144,#REF!,2,FALSE))</f>
      </c>
      <c r="AN177">
        <f>IF(ISERROR(VLOOKUP(AN144,#REF!,2,FALSE)),"",VLOOKUP(AN144,#REF!,2,FALSE))</f>
      </c>
      <c r="AO177">
        <f>IF(ISERROR(VLOOKUP(AO144,#REF!,2,FALSE)),"",VLOOKUP(AO144,#REF!,2,FALSE))</f>
      </c>
      <c r="AP177">
        <f>IF(ISERROR(VLOOKUP(AP144,#REF!,2,FALSE)),"",VLOOKUP(AP144,#REF!,2,FALSE))</f>
      </c>
      <c r="AQ177">
        <f>IF(ISERROR(VLOOKUP(AQ144,#REF!,2,FALSE)),"",VLOOKUP(AQ144,#REF!,2,FALSE))</f>
      </c>
      <c r="AR177">
        <f>IF(ISERROR(VLOOKUP(AR144,#REF!,2,FALSE)),"",VLOOKUP(AR144,#REF!,2,FALSE))</f>
      </c>
      <c r="AS177">
        <f>IF(ISERROR(VLOOKUP(AS144,#REF!,2,FALSE)),"",VLOOKUP(AS144,#REF!,2,FALSE))</f>
      </c>
      <c r="AT177">
        <f>IF(ISERROR(VLOOKUP(AT144,#REF!,2,FALSE)),"",VLOOKUP(AT144,#REF!,2,FALSE))</f>
      </c>
      <c r="AU177">
        <f>IF(ISERROR(VLOOKUP(AU144,#REF!,2,FALSE)),"",VLOOKUP(AU144,#REF!,2,FALSE))</f>
      </c>
      <c r="AV177">
        <f>IF(ISERROR(VLOOKUP(AV144,#REF!,2,FALSE)),"",VLOOKUP(AV144,#REF!,2,FALSE))</f>
      </c>
      <c r="AW177">
        <f>IF(ISERROR(VLOOKUP(AW144,#REF!,2,FALSE)),"",VLOOKUP(AW144,#REF!,2,FALSE))</f>
      </c>
      <c r="AX177">
        <f>IF(ISERROR(VLOOKUP(AX144,#REF!,2,FALSE)),"",VLOOKUP(AX144,#REF!,2,FALSE))</f>
      </c>
      <c r="AY177">
        <f>IF(ISERROR(VLOOKUP(AY144,#REF!,2,FALSE)),"",VLOOKUP(AY144,#REF!,2,FALSE))</f>
      </c>
      <c r="AZ177">
        <f>IF(ISERROR(VLOOKUP(AZ144,#REF!,2,FALSE)),"",VLOOKUP(AZ144,#REF!,2,FALSE))</f>
      </c>
      <c r="BA177">
        <f>IF(ISERROR(VLOOKUP(BA144,#REF!,2,FALSE)),"",VLOOKUP(BA144,#REF!,2,FALSE))</f>
      </c>
      <c r="BB177">
        <f>IF(ISERROR(VLOOKUP(BB144,#REF!,2,FALSE)),"",VLOOKUP(BB144,#REF!,2,FALSE))</f>
      </c>
      <c r="BC177">
        <f>IF(ISERROR(VLOOKUP(BC144,#REF!,2,FALSE)),"",VLOOKUP(BC144,#REF!,2,FALSE))</f>
      </c>
      <c r="BD177">
        <f>IF(ISERROR(VLOOKUP(BD144,#REF!,2,FALSE)),"",VLOOKUP(BD144,#REF!,2,FALSE))</f>
      </c>
      <c r="BE177">
        <f>IF(ISERROR(VLOOKUP(BE144,#REF!,2,FALSE)),"",VLOOKUP(BE144,#REF!,2,FALSE))</f>
      </c>
      <c r="BF177">
        <f>IF(ISERROR(VLOOKUP(BF144,#REF!,2,FALSE)),"",VLOOKUP(BF144,#REF!,2,FALSE))</f>
      </c>
      <c r="BG177">
        <f>IF(ISERROR(VLOOKUP(BG144,#REF!,2,FALSE)),"",VLOOKUP(BG144,#REF!,2,FALSE))</f>
      </c>
      <c r="BH177">
        <f>IF(ISERROR(VLOOKUP(BH144,#REF!,2,FALSE)),"",VLOOKUP(BH144,#REF!,2,FALSE))</f>
      </c>
      <c r="BI177">
        <f>IF(ISERROR(VLOOKUP(BI144,#REF!,2,FALSE)),"",VLOOKUP(BI144,#REF!,2,FALSE))</f>
      </c>
      <c r="BJ177">
        <f>IF(ISERROR(VLOOKUP(BJ144,#REF!,2,FALSE)),"",VLOOKUP(BJ144,#REF!,2,FALSE))</f>
      </c>
      <c r="BK177">
        <f>IF(ISERROR(VLOOKUP(BK144,#REF!,2,FALSE)),"",VLOOKUP(BK144,#REF!,2,FALSE))</f>
      </c>
      <c r="BL177">
        <f>IF(ISERROR(VLOOKUP(BL144,#REF!,2,FALSE)),"",VLOOKUP(BL144,#REF!,2,FALSE))</f>
      </c>
      <c r="BM177">
        <f>IF(ISERROR(VLOOKUP(BM144,#REF!,2,FALSE)),"",VLOOKUP(BM144,#REF!,2,FALSE))</f>
      </c>
    </row>
  </sheetData>
  <sheetProtection/>
  <mergeCells count="4">
    <mergeCell ref="A105:F105"/>
    <mergeCell ref="H105:M105"/>
    <mergeCell ref="O105:T105"/>
    <mergeCell ref="X104:AB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"/>
  <dimension ref="A1:AG36"/>
  <sheetViews>
    <sheetView zoomScalePageLayoutView="0" workbookViewId="0" topLeftCell="A1">
      <selection activeCell="U1" sqref="U1:U3"/>
    </sheetView>
  </sheetViews>
  <sheetFormatPr defaultColWidth="11.421875" defaultRowHeight="12.75" outlineLevelCol="1"/>
  <cols>
    <col min="1" max="1" width="10.7109375" style="0" bestFit="1" customWidth="1"/>
    <col min="2" max="2" width="21.140625" style="0" customWidth="1"/>
    <col min="3" max="3" width="18.57421875" style="0" customWidth="1"/>
    <col min="4" max="4" width="20.28125" style="0" customWidth="1"/>
    <col min="5" max="5" width="3.140625" style="4" customWidth="1"/>
    <col min="6" max="6" width="18.28125" style="0" customWidth="1"/>
    <col min="7" max="7" width="18.8515625" style="0" customWidth="1"/>
    <col min="8" max="8" width="9.7109375" style="0" hidden="1" customWidth="1" outlineLevel="1"/>
    <col min="9" max="9" width="9.8515625" style="0" hidden="1" customWidth="1" outlineLevel="1"/>
    <col min="10" max="10" width="11.00390625" style="0" bestFit="1" customWidth="1" collapsed="1"/>
    <col min="11" max="11" width="11.00390625" style="0" customWidth="1"/>
    <col min="12" max="14" width="3.57421875" style="0" customWidth="1"/>
    <col min="15" max="15" width="9.57421875" style="0" customWidth="1"/>
    <col min="16" max="16" width="4.28125" style="0" customWidth="1"/>
    <col min="17" max="17" width="7.57421875" style="0" customWidth="1"/>
    <col min="18" max="18" width="14.7109375" style="0" customWidth="1"/>
    <col min="19" max="19" width="18.8515625" style="0" customWidth="1"/>
    <col min="20" max="20" width="3.57421875" style="4" customWidth="1"/>
    <col min="21" max="21" width="4.57421875" style="0" customWidth="1"/>
    <col min="22" max="23" width="11.421875" style="0" customWidth="1"/>
    <col min="24" max="24" width="20.00390625" style="287" bestFit="1" customWidth="1"/>
    <col min="25" max="25" width="25.57421875" style="287" bestFit="1" customWidth="1"/>
    <col min="26" max="26" width="11.421875" style="0" customWidth="1"/>
    <col min="27" max="27" width="3.140625" style="0" customWidth="1"/>
    <col min="28" max="28" width="6.57421875" style="0" customWidth="1"/>
  </cols>
  <sheetData>
    <row r="1" spans="1:33" ht="21" thickBot="1">
      <c r="A1" s="262" t="s">
        <v>0</v>
      </c>
      <c r="B1" s="262" t="s">
        <v>48</v>
      </c>
      <c r="C1" s="262" t="s">
        <v>49</v>
      </c>
      <c r="D1" s="262" t="s">
        <v>50</v>
      </c>
      <c r="E1" s="275" t="s">
        <v>51</v>
      </c>
      <c r="F1" s="262" t="s">
        <v>52</v>
      </c>
      <c r="G1" s="262" t="s">
        <v>50</v>
      </c>
      <c r="H1" s="262" t="s">
        <v>53</v>
      </c>
      <c r="I1" s="262" t="s">
        <v>53</v>
      </c>
      <c r="J1" s="262" t="s">
        <v>170</v>
      </c>
      <c r="K1" s="262" t="s">
        <v>3</v>
      </c>
      <c r="O1" s="215">
        <f>SUM(M2:M31)</f>
        <v>1</v>
      </c>
      <c r="P1" s="4" t="s">
        <v>41</v>
      </c>
      <c r="Q1" s="380" t="s">
        <v>227</v>
      </c>
      <c r="R1" s="380" t="s">
        <v>291</v>
      </c>
      <c r="S1" s="380" t="s">
        <v>289</v>
      </c>
      <c r="T1" s="381" t="s">
        <v>25</v>
      </c>
      <c r="U1" s="5" t="s">
        <v>66</v>
      </c>
      <c r="V1" s="287"/>
      <c r="W1" s="380" t="s">
        <v>206</v>
      </c>
      <c r="X1" s="380" t="s">
        <v>210</v>
      </c>
      <c r="Y1" s="380" t="s">
        <v>202</v>
      </c>
      <c r="Z1" s="35" t="s">
        <v>29</v>
      </c>
      <c r="AA1" s="378"/>
      <c r="AB1" s="287">
        <f aca="true" t="shared" si="0" ref="AB1:AB12">VLOOKUP(LEFT(Z1,1),TabSeeding1,2,FALSE)</f>
        <v>1</v>
      </c>
      <c r="AC1" s="287" t="b">
        <f aca="true" t="shared" si="1" ref="AC1:AC12">IF(Z1=0,0,IF(Z1=$O$11,1,IF(Z1=$O$12,2,IF(Z1=$O$13,3,IF(Z1=$O$14,4)))))</f>
        <v>0</v>
      </c>
      <c r="AE1" s="288"/>
      <c r="AF1" s="287"/>
      <c r="AG1" s="287"/>
    </row>
    <row r="2" spans="1:33" ht="12.75">
      <c r="A2" s="263" t="str">
        <f>IF(AND(C2="",F2="")=TRUE,"",TatA!$M$2)</f>
        <v>JH-63KG</v>
      </c>
      <c r="B2" s="264">
        <f>IF(A2="","",IF(TatA!$I$39="","",ABS(RIGHT(TatA!$I$39,2))))</f>
        <v>13</v>
      </c>
      <c r="C2" s="263" t="str">
        <f>IF(TatA!$I$40="",IF(TatA!$G$19&lt;&gt;"","Winner "&amp;TatA!$G$19,""),TatA!$I$40)</f>
        <v>Mathias Støffringshaug</v>
      </c>
      <c r="D2" s="265" t="str">
        <f>TatA!$I$41</f>
        <v>Verdal Kampsportklubb</v>
      </c>
      <c r="E2" s="266" t="s">
        <v>55</v>
      </c>
      <c r="F2" s="402" t="str">
        <f>IF(TatA!$I$42="",IF(TatA!$G$59&lt;&gt;"","Winner "&amp;TatA!$G$59,""),TatA!$I$42)</f>
        <v>Daniel Rye</v>
      </c>
      <c r="G2" s="402" t="str">
        <f>TatA!$I$43</f>
        <v>Aktiv Kickboxingklubb</v>
      </c>
      <c r="H2" s="264">
        <f>TatA!$J$40</f>
        <v>12</v>
      </c>
      <c r="I2" s="264">
        <f>TatA!$J$43</f>
        <v>2</v>
      </c>
      <c r="J2" s="292">
        <f>IF(A2="","",VLOOKUP(B2,[0]!Time,2,FALSE))</f>
        <v>0.5666666666666664</v>
      </c>
      <c r="K2" s="329" t="str">
        <f>IF(A2="","",$T$1)</f>
        <v>B</v>
      </c>
      <c r="L2" s="146">
        <v>3</v>
      </c>
      <c r="M2" s="146">
        <f>IF(B2="",0,1)</f>
        <v>1</v>
      </c>
      <c r="N2" s="320" t="s">
        <v>160</v>
      </c>
      <c r="O2" s="286">
        <f>COUNTA(H2:H31)</f>
        <v>30</v>
      </c>
      <c r="P2" s="4" t="s">
        <v>39</v>
      </c>
      <c r="Q2" s="380" t="s">
        <v>227</v>
      </c>
      <c r="R2" s="380" t="s">
        <v>228</v>
      </c>
      <c r="S2" s="380" t="s">
        <v>229</v>
      </c>
      <c r="T2" s="381" t="s">
        <v>25</v>
      </c>
      <c r="U2" s="5" t="s">
        <v>66</v>
      </c>
      <c r="V2" s="287"/>
      <c r="W2" s="380" t="s">
        <v>206</v>
      </c>
      <c r="X2" s="380" t="s">
        <v>211</v>
      </c>
      <c r="Y2" s="380" t="s">
        <v>202</v>
      </c>
      <c r="Z2" s="35" t="s">
        <v>12</v>
      </c>
      <c r="AA2" s="378"/>
      <c r="AB2" s="287">
        <f t="shared" si="0"/>
        <v>1</v>
      </c>
      <c r="AC2" s="287" t="b">
        <f t="shared" si="1"/>
        <v>0</v>
      </c>
      <c r="AD2" s="289"/>
      <c r="AE2" s="288"/>
      <c r="AF2" s="287"/>
      <c r="AG2" s="287"/>
    </row>
    <row r="3" spans="1:33" ht="13.5" thickBot="1">
      <c r="A3" s="267">
        <f>IF(AND(C3="",F3="")=TRUE,"",TatA!$M$2)</f>
      </c>
      <c r="B3" s="268">
        <f>IF(A3="","",IF(TatA!$O$39="","",ABS(RIGHT(TatA!$O$39,2))))</f>
      </c>
      <c r="C3" s="267">
        <f>IF(TatA!$O$40="",IF(TatA!$Q$19&lt;&gt;"","Winner "&amp;TatA!$Q$19,""),TatA!$O$40)</f>
      </c>
      <c r="D3" s="269">
        <f>TatA!$O$41</f>
      </c>
      <c r="E3" s="276" t="s">
        <v>55</v>
      </c>
      <c r="F3" s="270">
        <f>IF(TatA!$O$42="",IF(TatA!$Q$59&lt;&gt;"","Winner "&amp;TatA!$Q$59,""),TatA!$O$42)</f>
      </c>
      <c r="G3" s="270">
        <f>TatA!$O$43</f>
      </c>
      <c r="H3" s="268">
        <f>TatA!$P$40</f>
      </c>
      <c r="I3" s="268">
        <f>TatA!$P$43</f>
      </c>
      <c r="J3" s="291">
        <f>IF(A3="","",VLOOKUP(B3,[0]!Time,2,FALSE))</f>
      </c>
      <c r="K3" s="331">
        <f>IF(A3="","",$T$1)</f>
      </c>
      <c r="L3" s="7">
        <v>3</v>
      </c>
      <c r="M3" s="7">
        <f>IF(B3="",0,1)</f>
        <v>0</v>
      </c>
      <c r="N3" s="321" t="s">
        <v>160</v>
      </c>
      <c r="P3" s="4" t="s">
        <v>42</v>
      </c>
      <c r="Q3" s="382" t="s">
        <v>227</v>
      </c>
      <c r="R3" s="382" t="s">
        <v>273</v>
      </c>
      <c r="S3" s="382" t="s">
        <v>269</v>
      </c>
      <c r="T3" s="383" t="s">
        <v>25</v>
      </c>
      <c r="U3" s="5" t="s">
        <v>66</v>
      </c>
      <c r="V3" s="287"/>
      <c r="W3" s="380" t="s">
        <v>206</v>
      </c>
      <c r="X3" s="380" t="s">
        <v>212</v>
      </c>
      <c r="Y3" s="380" t="s">
        <v>202</v>
      </c>
      <c r="Z3" s="35" t="s">
        <v>26</v>
      </c>
      <c r="AA3" s="378"/>
      <c r="AB3" s="287">
        <f t="shared" si="0"/>
        <v>1</v>
      </c>
      <c r="AC3" s="287" t="b">
        <f t="shared" si="1"/>
        <v>0</v>
      </c>
      <c r="AD3" s="289"/>
      <c r="AE3" s="288"/>
      <c r="AF3" s="287"/>
      <c r="AG3" s="287"/>
    </row>
    <row r="4" spans="1:33" ht="13.5" thickBot="1">
      <c r="A4" s="267">
        <f>IF(AND(C4="",F4="")=TRUE,"",TatA!$M$2)</f>
      </c>
      <c r="B4" s="268">
        <f>IF(A4="","",IF(TatA!$G$19="","",ABS(RIGHT(TatA!$G$19,2))))</f>
      </c>
      <c r="C4" s="267">
        <f>IF(TatA!$G$20="",IF(TatA!$E$10&lt;&gt;"","Winner "&amp;TatA!$E$10,""),TatA!$G$20)</f>
      </c>
      <c r="D4" s="269">
        <f>TatA!$G$21</f>
      </c>
      <c r="E4" s="276" t="s">
        <v>55</v>
      </c>
      <c r="F4" s="270">
        <f>IF(TatA!$G$22="",IF(TatA!$E$30&lt;&gt;"","Winner "&amp;TatA!$E$30,""),TatA!$G$22)</f>
      </c>
      <c r="G4" s="270">
        <f>TatA!$G$23</f>
      </c>
      <c r="H4" s="268">
        <f>TatA!$H$20</f>
      </c>
      <c r="I4" s="268">
        <f>TatA!$H$23</f>
      </c>
      <c r="J4" s="283">
        <f>IF(A4="","",VLOOKUP(B4,[0]!Time,2,FALSE))</f>
      </c>
      <c r="K4" s="330">
        <f>IF(A4="","",$T$1)</f>
      </c>
      <c r="L4" s="7">
        <v>5</v>
      </c>
      <c r="M4" s="7">
        <f>IF(B4="",0,1)</f>
        <v>0</v>
      </c>
      <c r="N4" s="321" t="s">
        <v>157</v>
      </c>
      <c r="O4" s="290" t="e">
        <f>IF(T1="A",VLOOKUP(B33,Tables!H45:K78,4,FALSE),IF(T1="B",VLOOKUP(B33,Tables!M45:P78,4,FALSE),IF(T1="C",VLOOKUP(B33,Tables!R45:U78,4,FALSE))))</f>
        <v>#N/A</v>
      </c>
      <c r="P4" s="4"/>
      <c r="Q4" s="382"/>
      <c r="R4" s="382"/>
      <c r="S4" s="382"/>
      <c r="T4" s="383"/>
      <c r="U4" s="5"/>
      <c r="V4" s="287"/>
      <c r="W4" s="380" t="s">
        <v>206</v>
      </c>
      <c r="X4" s="380" t="s">
        <v>213</v>
      </c>
      <c r="Y4" s="380" t="s">
        <v>203</v>
      </c>
      <c r="Z4" s="35" t="s">
        <v>15</v>
      </c>
      <c r="AA4" s="378"/>
      <c r="AB4">
        <f t="shared" si="0"/>
        <v>1</v>
      </c>
      <c r="AC4" s="287" t="b">
        <f t="shared" si="1"/>
        <v>0</v>
      </c>
      <c r="AE4" s="288"/>
      <c r="AF4" s="287"/>
      <c r="AG4" s="287"/>
    </row>
    <row r="5" spans="1:33" ht="13.5" thickBot="1">
      <c r="A5" s="267">
        <f>IF(AND(C5="",F5="")=TRUE,"",TatA!$M$2)</f>
      </c>
      <c r="B5" s="268">
        <f>IF(A5="","",IF(TatA!$G$59="","",ABS(RIGHT(TatA!$G$59,2))))</f>
      </c>
      <c r="C5" s="267">
        <f>IF(TatA!$G$60="",IF(TatA!$E$50&lt;&gt;"","Winner "&amp;TatA!$E$50,""),TatA!$G$60)</f>
      </c>
      <c r="D5" s="269">
        <f>TatA!$G$61</f>
      </c>
      <c r="E5" s="276" t="s">
        <v>55</v>
      </c>
      <c r="F5" s="270">
        <f>IF(TatA!$G$62="",IF(TatA!$E$70&lt;&gt;"","Winner "&amp;TatA!$E$70,""),TatA!$G$62)</f>
      </c>
      <c r="G5" s="270">
        <f>TatA!$G$63</f>
      </c>
      <c r="H5" s="268">
        <f>TatA!$H$60</f>
      </c>
      <c r="I5" s="268">
        <f>TatA!$H$63</f>
      </c>
      <c r="J5" s="283">
        <f>IF(A5="","",VLOOKUP(B5,[0]!Time,2,FALSE))</f>
      </c>
      <c r="K5" s="330">
        <f>IF(A5="","",$T$1)</f>
      </c>
      <c r="L5" s="7">
        <v>5</v>
      </c>
      <c r="M5" s="7">
        <f>IF(B5="",0,1)</f>
        <v>0</v>
      </c>
      <c r="N5" s="321" t="s">
        <v>157</v>
      </c>
      <c r="O5" s="290">
        <f>IF(T1="A",VLOOKUP(Q1,Tables!H3:K36,4,FALSE),IF(T1="B",VLOOKUP(Q1,Tables!M3:P36,4,FALSE),IF(T1="C",VLOOKUP(Q1,Tables!R3:U36,4,FALSE))))</f>
      </c>
      <c r="P5" s="4"/>
      <c r="Q5" s="382"/>
      <c r="R5" s="382"/>
      <c r="S5" s="382"/>
      <c r="T5" s="383"/>
      <c r="U5" s="5"/>
      <c r="V5" s="287"/>
      <c r="W5" s="380" t="s">
        <v>206</v>
      </c>
      <c r="X5" s="380" t="s">
        <v>214</v>
      </c>
      <c r="Y5" s="380" t="s">
        <v>204</v>
      </c>
      <c r="Z5" s="35" t="s">
        <v>28</v>
      </c>
      <c r="AA5" s="378"/>
      <c r="AB5" s="287">
        <f t="shared" si="0"/>
        <v>2</v>
      </c>
      <c r="AC5" s="287" t="b">
        <f t="shared" si="1"/>
        <v>0</v>
      </c>
      <c r="AD5" s="289"/>
      <c r="AE5" s="288"/>
      <c r="AF5" s="287"/>
      <c r="AG5" s="287"/>
    </row>
    <row r="6" spans="1:33" ht="12.75">
      <c r="A6" s="267">
        <f>IF(AND(C6="",F6="")=TRUE,"",TatA!$M$2)</f>
      </c>
      <c r="B6" s="268">
        <f>IF(A6="","",IF(TatA!$Q$19="","",ABS(RIGHT(TatA!$Q$19,2))))</f>
      </c>
      <c r="C6" s="267">
        <f>IF(TatA!$Q$20="",IF(TatA!$S$10&lt;&gt;"","Winner "&amp;TatA!$S$10,""),TatA!$Q$20)</f>
      </c>
      <c r="D6" s="269">
        <f>TatA!$Q$21</f>
      </c>
      <c r="E6" s="276" t="s">
        <v>55</v>
      </c>
      <c r="F6" s="270">
        <f>IF(TatA!$Q$22="",IF(TatA!$S$30&lt;&gt;"","Winner "&amp;TatA!$S$30,""),TatA!$Q$22)</f>
      </c>
      <c r="G6" s="270">
        <f>TatA!$Q$23</f>
      </c>
      <c r="H6" s="268">
        <f>TatA!$R$20</f>
      </c>
      <c r="I6" s="268">
        <f>TatA!$R$23</f>
      </c>
      <c r="J6" s="283">
        <f>IF(A6="","",VLOOKUP(B6,[0]!Time,2,FALSE))</f>
      </c>
      <c r="K6" s="330">
        <f>IF(A6="","",$T$1)</f>
      </c>
      <c r="L6" s="7">
        <v>5</v>
      </c>
      <c r="M6" s="7">
        <f>IF(B6="",0,1)</f>
        <v>0</v>
      </c>
      <c r="N6" s="321" t="s">
        <v>157</v>
      </c>
      <c r="P6" s="4"/>
      <c r="Q6" s="380"/>
      <c r="R6" s="380"/>
      <c r="S6" s="380"/>
      <c r="T6" s="381"/>
      <c r="U6" s="5"/>
      <c r="V6" s="287"/>
      <c r="W6" s="380" t="s">
        <v>206</v>
      </c>
      <c r="X6" s="380" t="s">
        <v>215</v>
      </c>
      <c r="Y6" s="380" t="s">
        <v>204</v>
      </c>
      <c r="Z6" s="35" t="s">
        <v>18</v>
      </c>
      <c r="AA6" s="378"/>
      <c r="AB6" s="287">
        <f t="shared" si="0"/>
        <v>2</v>
      </c>
      <c r="AC6" s="287" t="b">
        <f t="shared" si="1"/>
        <v>0</v>
      </c>
      <c r="AD6" s="289"/>
      <c r="AE6" s="288"/>
      <c r="AF6" s="287"/>
      <c r="AG6" s="287"/>
    </row>
    <row r="7" spans="1:33" ht="13.5" thickBot="1">
      <c r="A7" s="267">
        <f>IF(AND(C7="",F7="")=TRUE,"",TatA!$M$2)</f>
      </c>
      <c r="B7" s="268">
        <f>IF(A7="","",IF(TatA!$Q$59="","",ABS(RIGHT(TatA!$Q$59,2))))</f>
      </c>
      <c r="C7" s="267">
        <f>IF(TatA!$Q$60="",IF(TatA!$S$50&lt;&gt;"","Winner "&amp;TatA!$S$50,""),TatA!$Q$60)</f>
      </c>
      <c r="D7" s="269">
        <f>TatA!$Q$61</f>
      </c>
      <c r="E7" s="276" t="s">
        <v>55</v>
      </c>
      <c r="F7" s="270">
        <f>IF(TatA!$Q$62="",IF(TatA!$S$70&lt;&gt;"","Winner "&amp;TatA!$S$70,""),TatA!$Q$62)</f>
      </c>
      <c r="G7" s="270">
        <f>TatA!$Q$63</f>
      </c>
      <c r="H7" s="268">
        <f>TatA!$R$60</f>
      </c>
      <c r="I7" s="268">
        <f>TatA!$R$63</f>
      </c>
      <c r="J7" s="283">
        <f>IF(A7="","",VLOOKUP(B7,[0]!Time,2,FALSE))</f>
      </c>
      <c r="K7" s="330">
        <f>IF(A7="","",$T$1)</f>
      </c>
      <c r="L7" s="7">
        <v>5</v>
      </c>
      <c r="M7" s="7">
        <f>IF(B7="",0,1)</f>
        <v>0</v>
      </c>
      <c r="N7" s="321" t="s">
        <v>157</v>
      </c>
      <c r="P7" s="4"/>
      <c r="Q7" s="380"/>
      <c r="R7" s="380"/>
      <c r="S7" s="380"/>
      <c r="T7" s="381"/>
      <c r="U7" s="5"/>
      <c r="V7" s="287"/>
      <c r="W7" s="380" t="s">
        <v>206</v>
      </c>
      <c r="X7" s="380" t="s">
        <v>191</v>
      </c>
      <c r="Y7" s="380" t="s">
        <v>190</v>
      </c>
      <c r="Z7" s="35" t="s">
        <v>21</v>
      </c>
      <c r="AA7" s="378"/>
      <c r="AB7" s="287">
        <f t="shared" si="0"/>
        <v>2</v>
      </c>
      <c r="AC7" s="287" t="b">
        <f t="shared" si="1"/>
        <v>0</v>
      </c>
      <c r="AD7" s="289"/>
      <c r="AE7" s="288"/>
      <c r="AF7" s="287"/>
      <c r="AG7" s="287"/>
    </row>
    <row r="8" spans="1:33" ht="13.5" thickBot="1">
      <c r="A8" s="267">
        <f>IF(AND(C8="",F8="")=TRUE,"",TatA!$M$2)</f>
      </c>
      <c r="B8" s="268">
        <f>IF(A8="","",IF(TatA!$E$10="","",ABS(RIGHT(TatA!$E$10,2))))</f>
      </c>
      <c r="C8" s="267">
        <f>IF(TatA!$E$11="",IF(TatA!$C$4&lt;&gt;"","Winner "&amp;TatA!$C$4,""),TatA!$E$11)</f>
      </c>
      <c r="D8" s="269">
        <f>TatA!$E$12</f>
      </c>
      <c r="E8" s="276" t="s">
        <v>55</v>
      </c>
      <c r="F8" s="270">
        <f>IF(TatA!$E$13="",IF(TatA!$C$15&lt;&gt;"","Winner "&amp;TatA!$C$15,""),TatA!$E$13)</f>
      </c>
      <c r="G8" s="270">
        <f>TatA!$E$14</f>
      </c>
      <c r="H8" s="268">
        <f>TatA!$F$11</f>
      </c>
      <c r="I8" s="268">
        <f>TatA!$F$14</f>
      </c>
      <c r="J8" s="283">
        <f>IF(A8="","",VLOOKUP(B8,[0]!Time,2,FALSE))</f>
      </c>
      <c r="K8" s="330">
        <f>IF(A8="","",$T$1)</f>
      </c>
      <c r="L8" s="7">
        <v>6</v>
      </c>
      <c r="M8" s="7">
        <f>IF(B8="",0,1)</f>
        <v>0</v>
      </c>
      <c r="N8" s="321" t="s">
        <v>156</v>
      </c>
      <c r="O8" s="293"/>
      <c r="P8" s="4"/>
      <c r="Q8" s="382"/>
      <c r="R8" s="382"/>
      <c r="S8" s="382"/>
      <c r="T8" s="383"/>
      <c r="U8" s="5"/>
      <c r="V8" s="287"/>
      <c r="W8" s="380" t="s">
        <v>206</v>
      </c>
      <c r="X8" s="380" t="s">
        <v>207</v>
      </c>
      <c r="Y8" s="380" t="s">
        <v>205</v>
      </c>
      <c r="Z8" s="35" t="s">
        <v>22</v>
      </c>
      <c r="AA8" s="378"/>
      <c r="AB8" s="287">
        <f t="shared" si="0"/>
        <v>2</v>
      </c>
      <c r="AC8" s="287" t="b">
        <f t="shared" si="1"/>
        <v>0</v>
      </c>
      <c r="AD8" s="289"/>
      <c r="AE8" s="288"/>
      <c r="AF8" s="287"/>
      <c r="AG8" s="287"/>
    </row>
    <row r="9" spans="1:33" ht="13.5" thickBot="1">
      <c r="A9" s="267">
        <f>IF(AND(C9="",F9="")=TRUE,"",TatA!$M$2)</f>
      </c>
      <c r="B9" s="268">
        <f>IF(A9="","",IF(TatA!$E$50="","",ABS(RIGHT(TatA!$E$50,2))))</f>
      </c>
      <c r="C9" s="267">
        <f>IF(TatA!$E$51="",IF(TatA!$C$44&lt;&gt;"","Winner "&amp;TatA!$C$44,""),TatA!$E$51)</f>
      </c>
      <c r="D9" s="269">
        <f>TatA!$E$52</f>
      </c>
      <c r="E9" s="276" t="s">
        <v>55</v>
      </c>
      <c r="F9" s="270">
        <f>IF(TatA!$E$53="",IF(TatA!$C$55&lt;&gt;"","Winner "&amp;TatA!$C$55,""),TatA!$E$53)</f>
      </c>
      <c r="G9" s="270">
        <f>TatA!$E$54</f>
      </c>
      <c r="H9" s="268">
        <f>TatA!$F$51</f>
      </c>
      <c r="I9" s="268">
        <f>TatA!$F$54</f>
      </c>
      <c r="J9" s="283">
        <f>IF(A9="","",VLOOKUP(B9,[0]!Time,2,FALSE))</f>
      </c>
      <c r="K9" s="330">
        <f>IF(A9="","",$T$1)</f>
      </c>
      <c r="L9" s="7">
        <v>6</v>
      </c>
      <c r="M9" s="7">
        <f>IF(B9="",0,1)</f>
        <v>0</v>
      </c>
      <c r="N9" s="321" t="s">
        <v>156</v>
      </c>
      <c r="O9" s="290">
        <f>COUNTA(W:W)</f>
        <v>12</v>
      </c>
      <c r="P9" s="4"/>
      <c r="Q9" s="382"/>
      <c r="R9" s="382"/>
      <c r="S9" s="382"/>
      <c r="T9" s="383"/>
      <c r="U9" s="5"/>
      <c r="V9" s="287"/>
      <c r="W9" s="380" t="s">
        <v>206</v>
      </c>
      <c r="X9" s="380" t="s">
        <v>208</v>
      </c>
      <c r="Y9" s="380" t="s">
        <v>205</v>
      </c>
      <c r="Z9" s="35" t="s">
        <v>31</v>
      </c>
      <c r="AA9" s="378"/>
      <c r="AB9" s="287">
        <f t="shared" si="0"/>
        <v>1</v>
      </c>
      <c r="AC9" s="287">
        <f t="shared" si="1"/>
        <v>1</v>
      </c>
      <c r="AD9" s="289"/>
      <c r="AE9" s="288"/>
      <c r="AF9" s="287"/>
      <c r="AG9" s="287"/>
    </row>
    <row r="10" spans="1:33" ht="13.5" thickBot="1">
      <c r="A10" s="267">
        <f>IF(AND(C10="",F10="")=TRUE,"",TatA!$M$2)</f>
      </c>
      <c r="B10" s="268">
        <f>IF(A10="","",IF(TatA!$E$70="","",ABS(RIGHT(TatA!$E$70,2))))</f>
      </c>
      <c r="C10" s="267">
        <f>IF(TatA!$E$71="",IF(TatA!$C$64&lt;&gt;"","Winner "&amp;TatA!$C$64,""),TatA!$E$71)</f>
      </c>
      <c r="D10" s="269">
        <f>TatA!$E$72</f>
      </c>
      <c r="E10" s="276" t="s">
        <v>55</v>
      </c>
      <c r="F10" s="270">
        <f>IF(TatA!$E$73="",IF(TatA!$C$75&lt;&gt;"","Winner "&amp;TatA!$C$75,""),TatA!$E$73)</f>
      </c>
      <c r="G10" s="270">
        <f>TatA!$E$74</f>
      </c>
      <c r="H10" s="268">
        <f>TatA!$F$71</f>
      </c>
      <c r="I10" s="268">
        <f>TatA!$F$74</f>
      </c>
      <c r="J10" s="283">
        <f>IF(A10="","",VLOOKUP(B10,[0]!Time,2,FALSE))</f>
      </c>
      <c r="K10" s="330">
        <f>IF(A10="","",$T$1)</f>
      </c>
      <c r="L10" s="7">
        <v>6</v>
      </c>
      <c r="M10" s="7">
        <f>IF(B10="",0,1)</f>
        <v>0</v>
      </c>
      <c r="N10" s="321" t="s">
        <v>156</v>
      </c>
      <c r="O10" s="290">
        <f>COUNTA(AA:AA)</f>
        <v>0</v>
      </c>
      <c r="P10" s="4"/>
      <c r="Q10" s="380"/>
      <c r="R10" s="380"/>
      <c r="S10" s="380"/>
      <c r="T10" s="381"/>
      <c r="U10" s="5"/>
      <c r="V10" s="287"/>
      <c r="W10" s="380" t="s">
        <v>206</v>
      </c>
      <c r="X10" s="380" t="s">
        <v>216</v>
      </c>
      <c r="Y10" s="380" t="s">
        <v>192</v>
      </c>
      <c r="Z10" s="35" t="s">
        <v>33</v>
      </c>
      <c r="AA10" s="378"/>
      <c r="AB10" s="287">
        <f t="shared" si="0"/>
        <v>1</v>
      </c>
      <c r="AC10" s="287">
        <f t="shared" si="1"/>
        <v>3</v>
      </c>
      <c r="AD10" s="289"/>
      <c r="AE10" s="288"/>
      <c r="AF10" s="287"/>
      <c r="AG10" s="287"/>
    </row>
    <row r="11" spans="1:33" ht="12.75">
      <c r="A11" s="267">
        <f>IF(AND(C11="",F11="")=TRUE,"",TatA!$M$2)</f>
      </c>
      <c r="B11" s="268">
        <f>IF(A11="","",IF(TatA!$S$10="","",ABS(RIGHT(TatA!$S$10,2))))</f>
      </c>
      <c r="C11" s="267">
        <f>IF(TatA!$S$11="",IF(TatA!$U$4&lt;&gt;"","Winner "&amp;TatA!$U$4,""),TatA!$S$11)</f>
      </c>
      <c r="D11" s="269">
        <f>TatA!$S$12</f>
      </c>
      <c r="E11" s="276" t="s">
        <v>55</v>
      </c>
      <c r="F11" s="270">
        <f>IF(TatA!$S$13="",IF(TatA!$U$15&lt;&gt;"","Winner "&amp;TatA!$U$15,""),TatA!$S$13)</f>
      </c>
      <c r="G11" s="270">
        <f>TatA!$S$14</f>
      </c>
      <c r="H11" s="268">
        <f>TatA!$T$11</f>
      </c>
      <c r="I11" s="268">
        <f>TatA!$T$14</f>
      </c>
      <c r="J11" s="283">
        <f>IF(A11="","",VLOOKUP(B11,[0]!Time,2,FALSE))</f>
      </c>
      <c r="K11" s="330">
        <f>IF(A11="","",$T$1)</f>
      </c>
      <c r="L11" s="7">
        <v>6</v>
      </c>
      <c r="M11" s="7">
        <f>IF(B11="",0,1)</f>
        <v>0</v>
      </c>
      <c r="N11" s="321" t="s">
        <v>156</v>
      </c>
      <c r="O11" s="294" t="str">
        <f>VLOOKUP(AntSeeding,TabSeeding,2,FALSE)</f>
        <v>G22</v>
      </c>
      <c r="P11" s="4"/>
      <c r="Q11" s="380"/>
      <c r="R11" s="380"/>
      <c r="S11" s="380"/>
      <c r="T11" s="381"/>
      <c r="U11" s="5"/>
      <c r="V11" s="287"/>
      <c r="W11" s="380" t="s">
        <v>206</v>
      </c>
      <c r="X11" s="380" t="s">
        <v>217</v>
      </c>
      <c r="Y11" s="380" t="s">
        <v>192</v>
      </c>
      <c r="Z11" s="35" t="s">
        <v>32</v>
      </c>
      <c r="AA11" s="378"/>
      <c r="AB11" s="287">
        <f t="shared" si="0"/>
        <v>2</v>
      </c>
      <c r="AC11" s="287">
        <f t="shared" si="1"/>
        <v>2</v>
      </c>
      <c r="AD11" s="289"/>
      <c r="AE11" s="288"/>
      <c r="AF11" s="287"/>
      <c r="AG11" s="287"/>
    </row>
    <row r="12" spans="1:33" ht="13.5" thickBot="1">
      <c r="A12" s="267">
        <f>IF(AND(C12="",F12="")=TRUE,"",TatA!$M$2)</f>
      </c>
      <c r="B12" s="268">
        <f>IF(A12="","",IF(TatA!$S$50="","",ABS(RIGHT(TatA!$S$50,2))))</f>
      </c>
      <c r="C12" s="267">
        <f>IF(TatA!$S$51="",IF(TatA!$U$44&lt;&gt;"","Winner "&amp;TatA!$U$44,""),TatA!$S$51)</f>
      </c>
      <c r="D12" s="269">
        <f>TatA!$S$52</f>
      </c>
      <c r="E12" s="276" t="s">
        <v>55</v>
      </c>
      <c r="F12" s="270">
        <f>IF(TatA!$S$53="",IF(TatA!$U$55&lt;&gt;"","Winner "&amp;TatA!$U$55,""),TatA!$S$53)</f>
      </c>
      <c r="G12" s="270">
        <f>TatA!$S$54</f>
      </c>
      <c r="H12" s="268">
        <f>TatA!$T$51</f>
      </c>
      <c r="I12" s="268">
        <f>TatA!$T$54</f>
      </c>
      <c r="J12" s="283">
        <f>IF(A12="","",VLOOKUP(B12,[0]!Time,2,FALSE))</f>
      </c>
      <c r="K12" s="330">
        <f>IF(A12="","",$T$1)</f>
      </c>
      <c r="L12" s="7">
        <v>6</v>
      </c>
      <c r="M12" s="7">
        <f>IF(B12="",0,1)</f>
        <v>0</v>
      </c>
      <c r="N12" s="321" t="s">
        <v>156</v>
      </c>
      <c r="O12" s="295" t="str">
        <f>VLOOKUP(AntSeeding,TabSeeding,3,FALSE)</f>
        <v>Q22</v>
      </c>
      <c r="P12" s="4"/>
      <c r="Q12" s="380"/>
      <c r="R12" s="380"/>
      <c r="S12" s="380"/>
      <c r="T12" s="381"/>
      <c r="U12" s="5"/>
      <c r="V12" s="287"/>
      <c r="W12" s="382" t="s">
        <v>206</v>
      </c>
      <c r="X12" s="382" t="s">
        <v>209</v>
      </c>
      <c r="Y12" s="382" t="s">
        <v>193</v>
      </c>
      <c r="Z12" s="35" t="s">
        <v>35</v>
      </c>
      <c r="AA12" s="378"/>
      <c r="AB12" s="287">
        <f t="shared" si="0"/>
        <v>2</v>
      </c>
      <c r="AC12" s="287">
        <f t="shared" si="1"/>
        <v>4</v>
      </c>
      <c r="AD12" s="289"/>
      <c r="AE12" s="288"/>
      <c r="AF12" s="287"/>
      <c r="AG12" s="287"/>
    </row>
    <row r="13" spans="1:33" ht="12.75">
      <c r="A13" s="267">
        <f>IF(AND(C13="",F13="")=TRUE,"",TatA!$M$2)</f>
      </c>
      <c r="B13" s="268">
        <f>IF(A13="","",IF(TatA!$S$70="","",ABS(RIGHT(TatA!$S$70,2))))</f>
      </c>
      <c r="C13" s="267">
        <f>IF(TatA!$S$71="",IF(TatA!$U$64&lt;&gt;"","Winner "&amp;TatA!$U$64,""),TatA!$S$71)</f>
      </c>
      <c r="D13" s="269">
        <f>TatA!$S$72</f>
      </c>
      <c r="E13" s="276" t="s">
        <v>55</v>
      </c>
      <c r="F13" s="270">
        <f>IF(TatA!$S$73="",IF(TatA!$U$75&lt;&gt;"","Winner "&amp;TatA!$U$75,""),TatA!$S$73)</f>
      </c>
      <c r="G13" s="270">
        <f>TatA!$S$74</f>
      </c>
      <c r="H13" s="268">
        <f>TatA!$T$71</f>
      </c>
      <c r="I13" s="268">
        <f>TatA!$T$74</f>
      </c>
      <c r="J13" s="283">
        <f>IF(A13="","",VLOOKUP(B13,[0]!Time,2,FALSE))</f>
      </c>
      <c r="K13" s="330">
        <f>IF(A13="","",$T$1)</f>
      </c>
      <c r="L13" s="7">
        <v>6</v>
      </c>
      <c r="M13" s="7">
        <f>IF(B13="",0,1)</f>
        <v>0</v>
      </c>
      <c r="N13" s="321" t="s">
        <v>156</v>
      </c>
      <c r="O13" s="295" t="str">
        <f>VLOOKUP(AntSeeding,TabSeeding,4,FALSE)</f>
        <v>G62</v>
      </c>
      <c r="P13" s="4"/>
      <c r="Q13" s="380"/>
      <c r="R13" s="380"/>
      <c r="S13" s="380"/>
      <c r="T13" s="381"/>
      <c r="U13" s="5"/>
      <c r="V13" s="287"/>
      <c r="W13" s="380"/>
      <c r="X13" s="384"/>
      <c r="Y13" s="384"/>
      <c r="Z13" s="35"/>
      <c r="AA13" s="378"/>
      <c r="AB13" s="287"/>
      <c r="AC13" s="287"/>
      <c r="AD13" s="289"/>
      <c r="AE13" s="288"/>
      <c r="AF13" s="287"/>
      <c r="AG13" s="287"/>
    </row>
    <row r="14" spans="1:33" ht="13.5" thickBot="1">
      <c r="A14" s="267">
        <f>IF(AND(C14="",F14="")=TRUE,"",TatA!$M$2)</f>
      </c>
      <c r="B14" s="268">
        <f>IF(A14="","",IF(TatA!$C$4="","",ABS(RIGHT(TatA!$C$4,2))))</f>
      </c>
      <c r="C14" s="267">
        <f>TatA!$C$5</f>
      </c>
      <c r="D14" s="267">
        <f>TatA!$C$6</f>
      </c>
      <c r="E14" s="401" t="s">
        <v>55</v>
      </c>
      <c r="F14" s="269">
        <f>TatA!$C$7</f>
      </c>
      <c r="G14" s="269">
        <f>TatA!$C$8</f>
      </c>
      <c r="H14" s="276">
        <f>TatA!$D$5</f>
      </c>
      <c r="I14" s="276">
        <f>TatA!$D$8</f>
      </c>
      <c r="J14" s="283">
        <f>IF(A14="","",VLOOKUP(B14,[0]!Time,2,FALSE))</f>
      </c>
      <c r="K14" s="330">
        <f>IF(A14="","",$T$1)</f>
      </c>
      <c r="L14" s="7">
        <v>7</v>
      </c>
      <c r="M14" s="7">
        <f>IF(B14="",0,1)</f>
        <v>0</v>
      </c>
      <c r="N14" s="321" t="s">
        <v>155</v>
      </c>
      <c r="O14" s="296" t="str">
        <f>VLOOKUP(AntSeeding,TabSeeding,5,FALSE)</f>
        <v>Q62</v>
      </c>
      <c r="P14" s="4"/>
      <c r="Q14" s="382"/>
      <c r="R14" s="382"/>
      <c r="S14" s="382"/>
      <c r="T14" s="383"/>
      <c r="U14" s="5"/>
      <c r="V14" s="287"/>
      <c r="W14" s="380"/>
      <c r="X14" s="384"/>
      <c r="Y14" s="384"/>
      <c r="Z14" s="35"/>
      <c r="AA14" s="378"/>
      <c r="AB14" s="287"/>
      <c r="AC14" s="287"/>
      <c r="AE14" s="288"/>
      <c r="AF14" s="287"/>
      <c r="AG14" s="287"/>
    </row>
    <row r="15" spans="1:29" ht="13.5" thickBot="1">
      <c r="A15" s="267">
        <f>IF(AND(C15="",F15="")=TRUE,"",TatA!$M$2)</f>
      </c>
      <c r="B15" s="268">
        <f>IF(A15="","",IF(TatA!$U$4="","",ABS(RIGHT(TatA!$U$4,2))))</f>
      </c>
      <c r="C15" s="267">
        <f>TatA!$U$5</f>
      </c>
      <c r="D15" s="269">
        <f>TatA!$U$6</f>
      </c>
      <c r="E15" s="276" t="s">
        <v>55</v>
      </c>
      <c r="F15" s="270">
        <f>TatA!$U$7</f>
      </c>
      <c r="G15" s="270">
        <f>TatA!$U$8</f>
      </c>
      <c r="H15" s="268">
        <f>TatA!$V$5</f>
      </c>
      <c r="I15" s="268">
        <f>TatA!$V$8</f>
      </c>
      <c r="J15" s="283">
        <f>IF(A15="","",VLOOKUP(B15,[0]!Time,2,FALSE))</f>
      </c>
      <c r="K15" s="330">
        <f>IF(A15="","",$T$1)</f>
      </c>
      <c r="L15" s="7">
        <v>7</v>
      </c>
      <c r="M15" s="7">
        <f>IF(B15="",0,1)</f>
        <v>0</v>
      </c>
      <c r="N15" s="321" t="s">
        <v>155</v>
      </c>
      <c r="O15" s="297">
        <f>IF(ISTEXT(O11),1,0)+IF(ISTEXT(O12),1,0)+IF(ISTEXT(O13),1,0)+IF(ISTEXT(O14),1,0)</f>
        <v>4</v>
      </c>
      <c r="P15" s="4"/>
      <c r="Q15" s="382"/>
      <c r="R15" s="382"/>
      <c r="S15" s="382"/>
      <c r="T15" s="383"/>
      <c r="U15" s="5"/>
      <c r="V15" s="287"/>
      <c r="W15" s="380"/>
      <c r="X15" s="384"/>
      <c r="Y15" s="384"/>
      <c r="Z15" s="35"/>
      <c r="AA15" s="378"/>
      <c r="AB15" s="287"/>
      <c r="AC15" s="287"/>
    </row>
    <row r="16" spans="1:27" ht="13.5" thickBot="1">
      <c r="A16" s="267">
        <f>IF(AND(C16="",F16="")=TRUE,"",TatA!$M$2)</f>
      </c>
      <c r="B16" s="268">
        <f>IF(A16="","",IF(TatA!$E$30="","",ABS(RIGHT(TatA!$E$30,2))))</f>
      </c>
      <c r="C16" s="267">
        <f>IF(TatA!$E$31="",IF(TatA!$C$24&lt;&gt;"","Winner "&amp;TatA!$C$24,""),TatA!$E$31)</f>
      </c>
      <c r="D16" s="269">
        <f>TatA!$E$32</f>
      </c>
      <c r="E16" s="276" t="s">
        <v>55</v>
      </c>
      <c r="F16" s="270">
        <f>IF(TatA!$E$33="",IF(TatA!$C$55&lt;&gt;"","Winner "&amp;TatA!$C$55,""),TatA!$E$33)</f>
      </c>
      <c r="G16" s="270">
        <f>TatA!$E$34</f>
      </c>
      <c r="H16" s="268">
        <f>TatA!$F$31</f>
      </c>
      <c r="I16" s="268">
        <f>TatA!$F$34</f>
      </c>
      <c r="J16" s="283">
        <f>IF(A16="","",VLOOKUP(B16,[0]!Time,2,FALSE))</f>
      </c>
      <c r="K16" s="330">
        <f>IF(A16="","",$T$1)</f>
      </c>
      <c r="L16" s="7">
        <v>6</v>
      </c>
      <c r="M16" s="7">
        <f>IF(B16="",0,1)</f>
        <v>0</v>
      </c>
      <c r="N16" s="321" t="s">
        <v>156</v>
      </c>
      <c r="P16" s="4"/>
      <c r="Q16" s="382"/>
      <c r="R16" s="382"/>
      <c r="S16" s="382"/>
      <c r="T16" s="383"/>
      <c r="U16" s="5"/>
      <c r="V16" s="287"/>
      <c r="W16" s="380"/>
      <c r="X16" s="384"/>
      <c r="Y16" s="384"/>
      <c r="Z16" s="35"/>
      <c r="AA16" s="378"/>
    </row>
    <row r="17" spans="1:27" ht="12.75">
      <c r="A17" s="267">
        <f>IF(AND(C17="",F17="")=TRUE,"",TatA!$M$2)</f>
      </c>
      <c r="B17" s="268">
        <f>IF(A17="","",IF(TatA!$S$30="","",ABS(RIGHT(TatA!$S$30,2))))</f>
      </c>
      <c r="C17" s="267">
        <f>IF(TatA!$S$31="",IF(TatA!$U$24&lt;&gt;"","Winner "&amp;TatA!$U$24,""),TatA!$S$31)</f>
      </c>
      <c r="D17" s="269">
        <f>TatA!$S$32</f>
      </c>
      <c r="E17" s="276" t="s">
        <v>55</v>
      </c>
      <c r="F17" s="270">
        <f>IF(TatA!$S$33="",IF(TatA!$U$35&lt;&gt;"","Winner "&amp;TatA!$U$35,""),TatA!$S$33)</f>
      </c>
      <c r="G17" s="270">
        <f>TatA!$S$34</f>
      </c>
      <c r="H17" s="268">
        <f>TatA!$T$31</f>
      </c>
      <c r="I17" s="268">
        <f>TatA!$T$34</f>
      </c>
      <c r="J17" s="283">
        <f>IF(A17="","",VLOOKUP(B17,[0]!Time,2,FALSE))</f>
      </c>
      <c r="K17" s="330">
        <f>IF(A17="","",$T$1)</f>
      </c>
      <c r="L17" s="7">
        <v>6</v>
      </c>
      <c r="M17" s="7">
        <f>IF(B17="",0,1)</f>
        <v>0</v>
      </c>
      <c r="N17" s="321" t="s">
        <v>156</v>
      </c>
      <c r="P17" s="4"/>
      <c r="Q17" s="380"/>
      <c r="R17" s="380"/>
      <c r="S17" s="380"/>
      <c r="T17" s="381"/>
      <c r="U17" s="5"/>
      <c r="V17" s="287"/>
      <c r="W17" s="380"/>
      <c r="X17" s="384"/>
      <c r="Y17" s="379"/>
      <c r="Z17" s="35"/>
      <c r="AA17" s="378"/>
    </row>
    <row r="18" spans="1:27" ht="13.5" thickBot="1">
      <c r="A18" s="267">
        <f>IF(AND(C18="",F18="")=TRUE,"",TatA!$M$2)</f>
      </c>
      <c r="B18" s="268">
        <f>IF(A18="","",IF(TatA!$C$44="","",ABS(RIGHT(TatA!$C$44,2))))</f>
      </c>
      <c r="C18" s="267">
        <f>TatA!$C$45</f>
      </c>
      <c r="D18" s="269">
        <f>TatA!$C$46</f>
      </c>
      <c r="E18" s="276" t="s">
        <v>55</v>
      </c>
      <c r="F18" s="270">
        <f>TatA!$C$47</f>
      </c>
      <c r="G18" s="270">
        <f>TatA!$C$48</f>
      </c>
      <c r="H18" s="268">
        <f>TatA!$D$45</f>
      </c>
      <c r="I18" s="268">
        <f>TatA!$D$48</f>
      </c>
      <c r="J18" s="283">
        <f>IF(A18="","",VLOOKUP(B18,[0]!Time,2,FALSE))</f>
      </c>
      <c r="K18" s="330">
        <f>IF(A18="","",$T$1)</f>
      </c>
      <c r="L18" s="7">
        <v>7</v>
      </c>
      <c r="M18" s="7">
        <f>IF(B18="",0,1)</f>
        <v>0</v>
      </c>
      <c r="N18" s="321" t="s">
        <v>155</v>
      </c>
      <c r="P18" s="4"/>
      <c r="Q18" s="382"/>
      <c r="R18" s="382"/>
      <c r="S18" s="382"/>
      <c r="T18" s="383"/>
      <c r="U18" s="5"/>
      <c r="V18" s="287"/>
      <c r="W18" s="380"/>
      <c r="X18" s="384"/>
      <c r="Y18" s="384"/>
      <c r="Z18" s="35"/>
      <c r="AA18" s="378"/>
    </row>
    <row r="19" spans="1:30" ht="12.75">
      <c r="A19" s="267">
        <f>IF(AND(C19="",F19="")=TRUE,"",TatA!$M$2)</f>
      </c>
      <c r="B19" s="268">
        <f>IF(A19="","",IF(TatA!$C$24="","",ABS(RIGHT(TatA!$C$24,2))))</f>
      </c>
      <c r="C19" s="267">
        <f>TatA!$C$25</f>
      </c>
      <c r="D19" s="269">
        <f>TatA!$C$26</f>
      </c>
      <c r="E19" s="276" t="s">
        <v>55</v>
      </c>
      <c r="F19" s="270">
        <f>TatA!$C$27</f>
      </c>
      <c r="G19" s="270">
        <f>TatA!$C$28</f>
      </c>
      <c r="H19" s="268">
        <f>TatA!$D$25</f>
      </c>
      <c r="I19" s="268">
        <f>TatA!$D$28</f>
      </c>
      <c r="J19" s="283">
        <f>IF(A19="","",VLOOKUP(B19,[0]!Time,2,FALSE))</f>
      </c>
      <c r="K19" s="330">
        <f>IF(A19="","",$T$1)</f>
      </c>
      <c r="L19" s="7">
        <v>7</v>
      </c>
      <c r="M19" s="7">
        <f>IF(B19="",0,1)</f>
        <v>0</v>
      </c>
      <c r="N19" s="321" t="s">
        <v>155</v>
      </c>
      <c r="P19" s="4"/>
      <c r="Q19" s="380"/>
      <c r="R19" s="380"/>
      <c r="S19" s="380"/>
      <c r="T19" s="381"/>
      <c r="U19" s="5"/>
      <c r="V19" s="287"/>
      <c r="W19" s="380"/>
      <c r="X19" s="288"/>
      <c r="Z19" s="35"/>
      <c r="AA19" s="378"/>
      <c r="AD19" s="289"/>
    </row>
    <row r="20" spans="1:27" ht="12.75">
      <c r="A20" s="267">
        <f>IF(AND(C20="",F20="")=TRUE,"",TatA!$M$2)</f>
      </c>
      <c r="B20" s="268">
        <f>IF(A20="","",IF(TatA!$C$64="","",ABS(RIGHT(TatA!$C$64,2))))</f>
      </c>
      <c r="C20" s="267">
        <f>TatA!$C$65</f>
      </c>
      <c r="D20" s="269">
        <f>TatA!$C$66</f>
      </c>
      <c r="E20" s="276" t="s">
        <v>55</v>
      </c>
      <c r="F20" s="270">
        <f>TatA!$C$67</f>
      </c>
      <c r="G20" s="270">
        <f>TatA!$C$68</f>
      </c>
      <c r="H20" s="268">
        <f>TatA!$D$65</f>
      </c>
      <c r="I20" s="268">
        <f>TatA!$D$68</f>
      </c>
      <c r="J20" s="283">
        <f>IF(A20="","",VLOOKUP(B20,[0]!Time,2,FALSE))</f>
      </c>
      <c r="K20" s="330">
        <f>IF(A20="","",$T$1)</f>
      </c>
      <c r="L20" s="7">
        <v>7</v>
      </c>
      <c r="M20" s="7">
        <f>IF(B20="",0,1)</f>
        <v>0</v>
      </c>
      <c r="N20" s="321" t="s">
        <v>155</v>
      </c>
      <c r="Q20" s="380"/>
      <c r="R20" s="380"/>
      <c r="S20" s="380"/>
      <c r="T20" s="381"/>
      <c r="V20" s="287"/>
      <c r="W20" s="380"/>
      <c r="X20" s="384"/>
      <c r="Y20" s="384"/>
      <c r="AA20" s="378"/>
    </row>
    <row r="21" spans="1:27" ht="12.75">
      <c r="A21" s="267">
        <f>IF(AND(C21="",F21="")=TRUE,"",TatA!$M$2)</f>
      </c>
      <c r="B21" s="268">
        <f>IF(A21="","",IF(TatA!$U$24="","",ABS(RIGHT(TatA!$U$24,2))))</f>
      </c>
      <c r="C21" s="267">
        <f>TatA!$U$25</f>
      </c>
      <c r="D21" s="269">
        <f>TatA!$U$26</f>
      </c>
      <c r="E21" s="276" t="s">
        <v>55</v>
      </c>
      <c r="F21" s="270">
        <f>TatA!$U$27</f>
      </c>
      <c r="G21" s="270">
        <f>TatA!$U$28</f>
      </c>
      <c r="H21" s="268">
        <f>TatA!$V$25</f>
      </c>
      <c r="I21" s="268">
        <f>TatA!$V$28</f>
      </c>
      <c r="J21" s="283">
        <f>IF(A21="","",VLOOKUP(B21,[0]!Time,2,FALSE))</f>
      </c>
      <c r="K21" s="330">
        <f>IF(A21="","",$T$1)</f>
      </c>
      <c r="L21" s="7">
        <v>7</v>
      </c>
      <c r="M21" s="7">
        <f>IF(B21="",0,1)</f>
        <v>0</v>
      </c>
      <c r="N21" s="321" t="s">
        <v>155</v>
      </c>
      <c r="Q21" s="380"/>
      <c r="R21" s="380"/>
      <c r="S21" s="380"/>
      <c r="T21" s="381"/>
      <c r="V21" s="287"/>
      <c r="W21" s="380"/>
      <c r="X21" s="384"/>
      <c r="Y21" s="384"/>
      <c r="AA21" s="378"/>
    </row>
    <row r="22" spans="1:30" ht="13.5" thickBot="1">
      <c r="A22" s="267">
        <f>IF(AND(C22="",F22="")=TRUE,"",TatA!$M$2)</f>
      </c>
      <c r="B22" s="268">
        <f>IF(A22="","",IF(TatA!$U$44="","",ABS(RIGHT(TatA!$U$44,2))))</f>
      </c>
      <c r="C22" s="267">
        <f>TatA!$U$45</f>
      </c>
      <c r="D22" s="269">
        <f>TatA!$U$46</f>
      </c>
      <c r="E22" s="276" t="s">
        <v>55</v>
      </c>
      <c r="F22" s="270">
        <f>TatA!$U$47</f>
      </c>
      <c r="G22" s="270">
        <f>TatA!$U$48</f>
      </c>
      <c r="H22" s="268">
        <f>TatA!$V$45</f>
      </c>
      <c r="I22" s="268">
        <f>TatA!$V$48</f>
      </c>
      <c r="J22" s="283">
        <f>IF(A22="","",VLOOKUP(B22,[0]!Time,2,FALSE))</f>
      </c>
      <c r="K22" s="330">
        <f>IF(A22="","",$T$1)</f>
      </c>
      <c r="L22" s="7">
        <v>7</v>
      </c>
      <c r="M22" s="7">
        <f>IF(B22="",0,1)</f>
        <v>0</v>
      </c>
      <c r="N22" s="321" t="s">
        <v>155</v>
      </c>
      <c r="Q22" s="382"/>
      <c r="R22" s="382"/>
      <c r="S22" s="382"/>
      <c r="T22" s="383"/>
      <c r="V22" s="287"/>
      <c r="W22" s="380"/>
      <c r="X22" s="384"/>
      <c r="Y22" s="384"/>
      <c r="AA22" s="378"/>
      <c r="AD22" s="289"/>
    </row>
    <row r="23" spans="1:30" ht="12.75">
      <c r="A23" s="267">
        <f>IF(AND(C23="",F23="")=TRUE,"",TatA!$M$2)</f>
      </c>
      <c r="B23" s="268">
        <f>IF(A23="","",IF(TatA!$U$64="","",ABS(RIGHT(TatA!$U$64,2))))</f>
      </c>
      <c r="C23" s="267">
        <f>TatA!$U$65</f>
      </c>
      <c r="D23" s="269">
        <f>TatA!$U$66</f>
      </c>
      <c r="E23" s="276" t="s">
        <v>55</v>
      </c>
      <c r="F23" s="270">
        <f>TatA!$U$67</f>
      </c>
      <c r="G23" s="270">
        <f>TatA!$U$68</f>
      </c>
      <c r="H23" s="268">
        <f>TatA!$V$65</f>
      </c>
      <c r="I23" s="268">
        <f>TatA!$V$68</f>
      </c>
      <c r="J23" s="283">
        <f>IF(A23="","",VLOOKUP(B23,[0]!Time,2,FALSE))</f>
      </c>
      <c r="K23" s="330">
        <f>IF(A23="","",$T$1)</f>
      </c>
      <c r="L23" s="7">
        <v>7</v>
      </c>
      <c r="M23" s="7">
        <f>IF(B23="",0,1)</f>
        <v>0</v>
      </c>
      <c r="N23" s="321" t="s">
        <v>155</v>
      </c>
      <c r="Q23" s="380"/>
      <c r="R23" s="380"/>
      <c r="S23" s="380"/>
      <c r="T23" s="381"/>
      <c r="V23" s="287"/>
      <c r="W23" s="380"/>
      <c r="X23" s="288"/>
      <c r="AA23" s="378"/>
      <c r="AD23" s="289"/>
    </row>
    <row r="24" spans="1:27" ht="12.75">
      <c r="A24" s="267">
        <f>IF(AND(C24="",F24="")=TRUE,"",TatA!$M$2)</f>
      </c>
      <c r="B24" s="268">
        <f>IF(A24="","",IF(TatA!$U$75="","",ABS(RIGHT(TatA!$U$75,2))))</f>
      </c>
      <c r="C24" s="267">
        <f>TatA!$U$76</f>
      </c>
      <c r="D24" s="269">
        <f>TatA!$U$77</f>
      </c>
      <c r="E24" s="276" t="s">
        <v>55</v>
      </c>
      <c r="F24" s="270">
        <f>TatA!$U$78</f>
      </c>
      <c r="G24" s="270">
        <f>TatA!$U$79</f>
      </c>
      <c r="H24" s="268">
        <f>TatA!$V$76</f>
      </c>
      <c r="I24" s="268">
        <f>TatA!$V$79</f>
      </c>
      <c r="J24" s="283">
        <f>IF(A24="","",VLOOKUP(B24,[0]!Time,2,FALSE))</f>
      </c>
      <c r="K24" s="330">
        <f>IF(A24="","",$T$1)</f>
      </c>
      <c r="L24" s="7">
        <v>7</v>
      </c>
      <c r="M24" s="7">
        <f>IF(B24="",0,1)</f>
        <v>0</v>
      </c>
      <c r="N24" s="321" t="s">
        <v>155</v>
      </c>
      <c r="Q24" s="380"/>
      <c r="R24" s="380"/>
      <c r="S24" s="380"/>
      <c r="T24" s="381"/>
      <c r="V24" s="287"/>
      <c r="W24" s="380"/>
      <c r="X24" s="384"/>
      <c r="Y24" s="384"/>
      <c r="AA24" s="378"/>
    </row>
    <row r="25" spans="1:27" ht="13.5" thickBot="1">
      <c r="A25" s="267">
        <f>IF(AND(C25="",F25="")=TRUE,"",TatA!$M$2)</f>
      </c>
      <c r="B25" s="268">
        <f>IF(A25="","",IF(TatA!$C$15="","",ABS(RIGHT(TatA!$C$15,2))))</f>
      </c>
      <c r="C25" s="267">
        <f>TatA!$C$16</f>
      </c>
      <c r="D25" s="269">
        <f>TatA!$C$17</f>
      </c>
      <c r="E25" s="276" t="s">
        <v>55</v>
      </c>
      <c r="F25" s="270">
        <f>TatA!$C$18</f>
      </c>
      <c r="G25" s="270">
        <f>TatA!$C$19</f>
      </c>
      <c r="H25" s="268">
        <f>TatA!$D$16</f>
      </c>
      <c r="I25" s="268">
        <f>TatA!$D$19</f>
      </c>
      <c r="J25" s="283">
        <f>IF(A25="","",VLOOKUP(B25,[0]!Time,2,FALSE))</f>
      </c>
      <c r="K25" s="330">
        <f>IF(A25="","",$T$1)</f>
      </c>
      <c r="L25" s="7">
        <v>7</v>
      </c>
      <c r="M25" s="7">
        <f>IF(B25="",0,1)</f>
        <v>0</v>
      </c>
      <c r="N25" s="321" t="s">
        <v>155</v>
      </c>
      <c r="Q25" s="380"/>
      <c r="R25" s="380"/>
      <c r="S25" s="380"/>
      <c r="T25" s="381"/>
      <c r="V25" s="287"/>
      <c r="W25" s="382"/>
      <c r="X25" s="385"/>
      <c r="Y25" s="385"/>
      <c r="AA25" s="378"/>
    </row>
    <row r="26" spans="1:20" ht="12.75">
      <c r="A26" s="267">
        <f>IF(AND(C26="",F26="")=TRUE,"",TatA!$M$2)</f>
      </c>
      <c r="B26" s="268">
        <f>IF(A26="","",IF(TatA!$C$35="","",ABS(RIGHT(TatA!$C$35,2))))</f>
      </c>
      <c r="C26" s="267">
        <f>TatA!$C$36</f>
      </c>
      <c r="D26" s="269">
        <f>TatA!$C$37</f>
      </c>
      <c r="E26" s="276" t="s">
        <v>55</v>
      </c>
      <c r="F26" s="270">
        <f>TatA!$C$38</f>
      </c>
      <c r="G26" s="270">
        <f>TatA!$C$39</f>
      </c>
      <c r="H26" s="268">
        <f>TatA!$D$36</f>
      </c>
      <c r="I26" s="268">
        <f>TatA!$D$39</f>
      </c>
      <c r="J26" s="283">
        <f>IF(A26="","",VLOOKUP(B26,[0]!Time,2,FALSE))</f>
      </c>
      <c r="K26" s="330">
        <f>IF(A26="","",$T$1)</f>
      </c>
      <c r="L26" s="7">
        <v>7</v>
      </c>
      <c r="M26" s="7">
        <f>IF(B26="",0,1)</f>
        <v>0</v>
      </c>
      <c r="N26" s="321" t="s">
        <v>155</v>
      </c>
      <c r="Q26" s="380"/>
      <c r="R26" s="380"/>
      <c r="S26" s="380"/>
      <c r="T26" s="381"/>
    </row>
    <row r="27" spans="1:20" ht="12.75">
      <c r="A27" s="267">
        <f>IF(AND(C27="",F27="")=TRUE,"",TatA!$M$2)</f>
      </c>
      <c r="B27" s="268">
        <f>IF(A27="","",IF(TatA!$C$55="","",ABS(RIGHT(TatA!$C$55,2))))</f>
      </c>
      <c r="C27" s="267">
        <f>TatA!$C$56</f>
      </c>
      <c r="D27" s="269">
        <f>TatA!$C$57</f>
      </c>
      <c r="E27" s="276" t="s">
        <v>55</v>
      </c>
      <c r="F27" s="270">
        <f>TatA!$C$58</f>
      </c>
      <c r="G27" s="270">
        <f>TatA!$C$59</f>
      </c>
      <c r="H27" s="268">
        <f>TatA!$D$56</f>
      </c>
      <c r="I27" s="268">
        <f>TatA!$D$59</f>
      </c>
      <c r="J27" s="283">
        <f>IF(A27="","",VLOOKUP(B27,[0]!Time,2,FALSE))</f>
      </c>
      <c r="K27" s="330">
        <f>IF(A27="","",$T$1)</f>
      </c>
      <c r="L27" s="7">
        <v>7</v>
      </c>
      <c r="M27" s="7">
        <f>IF(B27="",0,1)</f>
        <v>0</v>
      </c>
      <c r="N27" s="321" t="s">
        <v>155</v>
      </c>
      <c r="Q27" s="380"/>
      <c r="R27" s="380"/>
      <c r="S27" s="380"/>
      <c r="T27" s="381"/>
    </row>
    <row r="28" spans="1:20" ht="12.75">
      <c r="A28" s="267">
        <f>IF(AND(C28="",F28="")=TRUE,"",TatA!$M$2)</f>
      </c>
      <c r="B28" s="268">
        <f>IF(A28="","",IF(TatA!$C$75="","",ABS(RIGHT(TatA!$C$75,2))))</f>
      </c>
      <c r="C28" s="267">
        <f>TatA!$C$76</f>
      </c>
      <c r="D28" s="269">
        <f>TatA!$C$77</f>
      </c>
      <c r="E28" s="276" t="s">
        <v>55</v>
      </c>
      <c r="F28" s="270">
        <f>TatA!$C$78</f>
      </c>
      <c r="G28" s="270">
        <f>TatA!$C$79</f>
      </c>
      <c r="H28" s="268">
        <f>TatA!$D$76</f>
      </c>
      <c r="I28" s="268">
        <f>TatA!$D$79</f>
      </c>
      <c r="J28" s="283">
        <f>IF(A28="","",VLOOKUP(B28,[0]!Time,2,FALSE))</f>
      </c>
      <c r="K28" s="330">
        <f>IF(A28="","",$T$1)</f>
      </c>
      <c r="L28" s="7">
        <v>7</v>
      </c>
      <c r="M28" s="7">
        <f>IF(B28="",0,1)</f>
        <v>0</v>
      </c>
      <c r="N28" s="321" t="s">
        <v>155</v>
      </c>
      <c r="Q28" s="380"/>
      <c r="R28" s="380"/>
      <c r="S28" s="380"/>
      <c r="T28" s="381"/>
    </row>
    <row r="29" spans="1:20" ht="12.75">
      <c r="A29" s="267">
        <f>IF(AND(C29="",F29="")=TRUE,"",TatA!$M$2)</f>
      </c>
      <c r="B29" s="268">
        <f>IF(A29="","",IF(TatA!$U$15="","",ABS(RIGHT(TatA!$U$15,2))))</f>
      </c>
      <c r="C29" s="267">
        <f>TatA!$U$16</f>
      </c>
      <c r="D29" s="269">
        <f>TatA!$U$17</f>
      </c>
      <c r="E29" s="276" t="s">
        <v>55</v>
      </c>
      <c r="F29" s="270">
        <f>TatA!$U$18</f>
      </c>
      <c r="G29" s="270">
        <f>TatA!$U$19</f>
      </c>
      <c r="H29" s="268">
        <f>TatA!$V$16</f>
      </c>
      <c r="I29" s="268">
        <f>TatA!$V$19</f>
      </c>
      <c r="J29" s="283">
        <f>IF(A29="","",VLOOKUP(B29,[0]!Time,2,FALSE))</f>
      </c>
      <c r="K29" s="330">
        <f>IF(A29="","",$T$1)</f>
      </c>
      <c r="L29" s="7">
        <v>7</v>
      </c>
      <c r="M29" s="7">
        <f>IF(B29="",0,1)</f>
        <v>0</v>
      </c>
      <c r="N29" s="321" t="s">
        <v>155</v>
      </c>
      <c r="Q29" s="380"/>
      <c r="R29" s="380"/>
      <c r="S29" s="380"/>
      <c r="T29" s="381"/>
    </row>
    <row r="30" spans="1:20" ht="12.75">
      <c r="A30" s="267">
        <f>IF(AND(C30="",F30="")=TRUE,"",TatA!$M$2)</f>
      </c>
      <c r="B30" s="268">
        <f>IF(A30="","",IF(TatA!$U$35="","",ABS(RIGHT(TatA!$U$35,2))))</f>
      </c>
      <c r="C30" s="267">
        <f>TatA!$U$36</f>
      </c>
      <c r="D30" s="269">
        <f>TatA!$U$37</f>
      </c>
      <c r="E30" s="276" t="s">
        <v>55</v>
      </c>
      <c r="F30" s="270">
        <f>TatA!$U$38</f>
      </c>
      <c r="G30" s="270">
        <f>TatA!$U$39</f>
      </c>
      <c r="H30" s="268">
        <f>TatA!$V$36</f>
      </c>
      <c r="I30" s="268">
        <f>TatA!$V$39</f>
      </c>
      <c r="J30" s="283">
        <f>IF(A30="","",VLOOKUP(B30,[0]!Time,2,FALSE))</f>
      </c>
      <c r="K30" s="330">
        <f>IF(A30="","",$T$1)</f>
      </c>
      <c r="L30" s="7">
        <v>7</v>
      </c>
      <c r="M30" s="7">
        <f>IF(B30="",0,1)</f>
        <v>0</v>
      </c>
      <c r="N30" s="321" t="s">
        <v>155</v>
      </c>
      <c r="Q30" s="380"/>
      <c r="R30" s="380"/>
      <c r="S30" s="380"/>
      <c r="T30" s="381"/>
    </row>
    <row r="31" spans="1:20" ht="12.75">
      <c r="A31" s="267">
        <f>IF(AND(C31="",F31="")=TRUE,"",TatA!$M$2)</f>
      </c>
      <c r="B31" s="268">
        <f>IF(A31="","",IF(TatA!$U$54="","",ABS(RIGHT(TatA!$U$54,2))))</f>
      </c>
      <c r="C31" s="267">
        <f>TatA!$U$56</f>
      </c>
      <c r="D31" s="269">
        <f>TatA!$U$57</f>
      </c>
      <c r="E31" s="276" t="s">
        <v>55</v>
      </c>
      <c r="F31" s="270">
        <f>TatA!$U$58</f>
      </c>
      <c r="G31" s="270">
        <f>TatA!$U$59</f>
      </c>
      <c r="H31" s="268">
        <f>TatA!$V$56</f>
      </c>
      <c r="I31" s="268">
        <f>TatA!$V$59</f>
      </c>
      <c r="J31" s="283">
        <f>IF(A31="","",VLOOKUP(B31,[0]!Time,2,FALSE))</f>
      </c>
      <c r="K31" s="330">
        <f>IF(A31="","",$T$1)</f>
      </c>
      <c r="L31" s="7">
        <v>7</v>
      </c>
      <c r="M31" s="7">
        <f>IF(B31="",0,1)</f>
        <v>0</v>
      </c>
      <c r="N31" s="321" t="s">
        <v>155</v>
      </c>
      <c r="Q31" s="380"/>
      <c r="R31" s="380"/>
      <c r="S31" s="380"/>
      <c r="T31" s="381"/>
    </row>
    <row r="32" spans="1:20" ht="12.75">
      <c r="A32" s="267" t="str">
        <f>IF(AND(C32="",F32="")=TRUE,"",TatA!$M$2)</f>
        <v>JH-63KG</v>
      </c>
      <c r="B32" s="270" t="str">
        <f>IF(Ch_Bronze=TRUE,"No Finales","Bronze Finale "&amp;ChBronze)</f>
        <v>Bronze Finale </v>
      </c>
      <c r="C32" s="267" t="str">
        <f>IF(TatA!$L$49="",IF(TatA!I39&lt;&gt;"","Looser "&amp;TatA!I39,""),TatA!L49)</f>
        <v>Daniel Rye</v>
      </c>
      <c r="D32" s="269" t="str">
        <f>IF(C32="","",TatA!$L$50)</f>
        <v>Aktiv Kickboxingklubb</v>
      </c>
      <c r="E32" s="276" t="s">
        <v>55</v>
      </c>
      <c r="F32" s="270">
        <f>IF(TatA!$L$51="",IF(TatA!$O$39&lt;&gt;"","Looser "&amp;TatA!$O$39,""),TatA!$L$51)</f>
      </c>
      <c r="G32" s="270">
        <f>IF(F32="","",TatA!$L$52)</f>
      </c>
      <c r="H32" s="268">
        <f>TatA!$M$49</f>
      </c>
      <c r="I32" s="268">
        <f>TatA!$M$52</f>
      </c>
      <c r="J32" s="283" t="str">
        <f>IF(OR(B32="Bronze Finale  - ",B32="Bronze Finale ",B32="No Finales"),"No Finales",IF(B32="Bronze  - ","",IF(A32="","",VLOOKUP(ABS(RIGHT(B32,2)),[0]!Time,4,FALSE))))</f>
        <v>No Finales</v>
      </c>
      <c r="K32" s="330" t="str">
        <f>IF(A32="","",$T$1)</f>
        <v>B</v>
      </c>
      <c r="L32" s="7">
        <v>3</v>
      </c>
      <c r="M32" s="7">
        <f>IF(B32="",0,1)</f>
        <v>1</v>
      </c>
      <c r="N32" s="321" t="s">
        <v>161</v>
      </c>
      <c r="Q32" s="380"/>
      <c r="R32" s="380"/>
      <c r="S32" s="380"/>
      <c r="T32" s="381"/>
    </row>
    <row r="33" spans="1:20" ht="13.5" thickBot="1">
      <c r="A33" s="271" t="str">
        <f>IF(AND(C33="",F33="")=TRUE,"",TatA!$M$2)</f>
        <v>JH-63KG</v>
      </c>
      <c r="B33" s="272" t="str">
        <f>TatA!L30</f>
        <v>Finale 5</v>
      </c>
      <c r="C33" s="271" t="str">
        <f>IF(TatA!$L$31="",IF(TatA!$I$39&lt;&gt;"","Winner "&amp;TatA!$I$39,""),TatA!$L$31)</f>
        <v>Mathias Støffringshaug</v>
      </c>
      <c r="D33" s="273" t="str">
        <f>TatA!$L$32</f>
        <v>Verdal Kampsportklubb</v>
      </c>
      <c r="E33" s="277" t="s">
        <v>55</v>
      </c>
      <c r="F33" s="272" t="str">
        <f>IF(TatA!$L$33="",IF(TatA!$I$39&lt;&gt;"","Winner "&amp;TatA!$O$39,""),TatA!$L$33)</f>
        <v>Nemet Rostam</v>
      </c>
      <c r="G33" s="272" t="str">
        <f>TatA!$L$34</f>
        <v>Horten Kickboxingklubb</v>
      </c>
      <c r="H33" s="274">
        <f>TatA!$M$31</f>
        <v>12</v>
      </c>
      <c r="I33" s="274">
        <f>TatA!$M$34</f>
        <v>2</v>
      </c>
      <c r="J33" s="284">
        <f>IF(A33="","",VLOOKUP(ABS(RIGHT(B33,2)),[0]!Time,3,FALSE))</f>
        <v>0.6194444444444444</v>
      </c>
      <c r="K33" s="332" t="str">
        <f>IF(A33="","",$T$1)</f>
        <v>B</v>
      </c>
      <c r="L33" s="38">
        <v>1</v>
      </c>
      <c r="M33" s="38">
        <f>IF(B33="",0,1)</f>
        <v>1</v>
      </c>
      <c r="N33" s="322" t="s">
        <v>186</v>
      </c>
      <c r="Q33" s="380"/>
      <c r="R33" s="380"/>
      <c r="S33" s="380"/>
      <c r="T33" s="381"/>
    </row>
    <row r="34" spans="1:20" ht="12.75">
      <c r="A34" t="s">
        <v>182</v>
      </c>
      <c r="Q34" s="380"/>
      <c r="R34" s="380"/>
      <c r="S34" s="380"/>
      <c r="T34" s="381"/>
    </row>
    <row r="35" spans="1:20" ht="12.75">
      <c r="A35">
        <f>COUNTA(A36:A36)+36</f>
        <v>37</v>
      </c>
      <c r="O35" t="e">
        <f>ABS(RIGHT(B32,2))*TimeScedule!MatchTimeB</f>
        <v>#VALUE!</v>
      </c>
      <c r="Q35" s="380"/>
      <c r="R35" s="380"/>
      <c r="S35" s="380"/>
      <c r="T35" s="381"/>
    </row>
    <row r="36" spans="1:20" ht="30">
      <c r="A36" s="428" t="str">
        <f>"Fight List: "&amp;T1</f>
        <v>Fight List: B</v>
      </c>
      <c r="B36" s="428"/>
      <c r="C36" s="428"/>
      <c r="D36" s="428"/>
      <c r="E36" s="428"/>
      <c r="F36" s="428"/>
      <c r="G36" s="428"/>
      <c r="H36" s="428"/>
      <c r="I36" s="428"/>
      <c r="J36" s="333"/>
      <c r="K36" s="333"/>
      <c r="Q36" s="380"/>
      <c r="R36" s="380"/>
      <c r="S36" s="380"/>
      <c r="T36" s="381"/>
    </row>
  </sheetData>
  <sheetProtection/>
  <autoFilter ref="A1:A36"/>
  <mergeCells count="1">
    <mergeCell ref="A36:I3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&amp;R&amp;"Arial,Halvfet"&amp;18Tournement: TEST
PYRAMIDE: Professionl tournement tool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"/>
  <dimension ref="A1:O48"/>
  <sheetViews>
    <sheetView showGridLines="0" zoomScalePageLayoutView="0" workbookViewId="0" topLeftCell="A1">
      <selection activeCell="J30" sqref="J30"/>
    </sheetView>
  </sheetViews>
  <sheetFormatPr defaultColWidth="11.421875" defaultRowHeight="12.75"/>
  <cols>
    <col min="1" max="2" width="0.5625" style="3" customWidth="1"/>
    <col min="3" max="3" width="41.8515625" style="3" customWidth="1"/>
    <col min="4" max="4" width="16.57421875" style="3" customWidth="1"/>
    <col min="5" max="5" width="0.5625" style="3" customWidth="1"/>
    <col min="6" max="6" width="0.71875" style="3" customWidth="1"/>
    <col min="7" max="8" width="0.5625" style="3" customWidth="1"/>
    <col min="9" max="9" width="45.00390625" style="3" customWidth="1"/>
    <col min="10" max="10" width="17.421875" style="3" customWidth="1"/>
    <col min="11" max="11" width="5.57421875" style="3" customWidth="1"/>
    <col min="12" max="13" width="0.5625" style="3" customWidth="1"/>
    <col min="14" max="16384" width="11.421875" style="3" customWidth="1"/>
  </cols>
  <sheetData>
    <row r="1" spans="1:13" ht="3" customHeight="1">
      <c r="A1" s="39"/>
      <c r="B1" s="39"/>
      <c r="C1" s="39"/>
      <c r="D1" s="39"/>
      <c r="E1" s="39"/>
      <c r="F1" s="40"/>
      <c r="G1" s="39"/>
      <c r="H1" s="39"/>
      <c r="I1" s="39"/>
      <c r="J1" s="39"/>
      <c r="K1" s="39"/>
      <c r="L1" s="40"/>
      <c r="M1" s="39"/>
    </row>
    <row r="2" spans="1:13" ht="3.75" customHeight="1">
      <c r="A2" s="39"/>
      <c r="B2" s="41"/>
      <c r="C2" s="41"/>
      <c r="D2" s="41"/>
      <c r="E2" s="41"/>
      <c r="F2" s="42"/>
      <c r="G2" s="40"/>
      <c r="H2" s="42"/>
      <c r="I2" s="41"/>
      <c r="J2" s="41"/>
      <c r="K2" s="41"/>
      <c r="L2" s="42"/>
      <c r="M2" s="40"/>
    </row>
    <row r="3" spans="1:13" ht="18">
      <c r="A3" s="39"/>
      <c r="B3" s="43"/>
      <c r="C3" s="435" t="s">
        <v>68</v>
      </c>
      <c r="D3" s="436">
        <v>0.5</v>
      </c>
      <c r="E3" s="40"/>
      <c r="F3" s="42"/>
      <c r="G3" s="44"/>
      <c r="H3" s="45"/>
      <c r="I3" s="46" t="s">
        <v>69</v>
      </c>
      <c r="J3" s="47">
        <f>D3+J4</f>
        <v>0.6270833333333333</v>
      </c>
      <c r="K3" s="48"/>
      <c r="L3" s="42"/>
      <c r="M3" s="44"/>
    </row>
    <row r="4" spans="1:14" ht="18">
      <c r="A4" s="39"/>
      <c r="B4" s="42"/>
      <c r="C4" s="435"/>
      <c r="D4" s="436"/>
      <c r="E4" s="40"/>
      <c r="F4" s="42"/>
      <c r="G4" s="44"/>
      <c r="H4" s="45"/>
      <c r="I4" s="49" t="s">
        <v>70</v>
      </c>
      <c r="J4" s="50">
        <f>J38-D3</f>
        <v>0.12708333333333333</v>
      </c>
      <c r="K4" s="51" t="s">
        <v>71</v>
      </c>
      <c r="L4" s="42"/>
      <c r="M4" s="44"/>
      <c r="N4" s="52"/>
    </row>
    <row r="5" spans="1:13" ht="3.75" customHeight="1">
      <c r="A5" s="39"/>
      <c r="B5" s="42"/>
      <c r="C5" s="53"/>
      <c r="D5" s="42"/>
      <c r="E5" s="42"/>
      <c r="F5" s="42"/>
      <c r="G5" s="44"/>
      <c r="H5" s="45"/>
      <c r="I5" s="42"/>
      <c r="J5" s="42"/>
      <c r="K5" s="54"/>
      <c r="L5" s="42"/>
      <c r="M5" s="44"/>
    </row>
    <row r="6" spans="1:13" ht="3.75" customHeight="1">
      <c r="A6" s="39"/>
      <c r="B6" s="40"/>
      <c r="C6" s="55"/>
      <c r="D6" s="40"/>
      <c r="E6" s="40"/>
      <c r="F6" s="40"/>
      <c r="G6" s="40"/>
      <c r="H6" s="40"/>
      <c r="I6" s="39"/>
      <c r="J6" s="39"/>
      <c r="K6" s="56"/>
      <c r="L6" s="39"/>
      <c r="M6" s="39"/>
    </row>
    <row r="7" spans="2:11" ht="3.75" customHeight="1">
      <c r="B7" s="57"/>
      <c r="C7" s="58"/>
      <c r="D7" s="57"/>
      <c r="E7" s="57"/>
      <c r="F7" s="57"/>
      <c r="G7" s="59"/>
      <c r="H7" s="59"/>
      <c r="K7" s="60"/>
    </row>
    <row r="8" spans="1:13" ht="4.5" customHeight="1">
      <c r="A8" s="39"/>
      <c r="B8" s="40"/>
      <c r="C8" s="55"/>
      <c r="D8" s="40"/>
      <c r="E8" s="40"/>
      <c r="F8" s="40"/>
      <c r="G8" s="44"/>
      <c r="H8" s="44"/>
      <c r="I8" s="39"/>
      <c r="J8" s="39"/>
      <c r="K8" s="56"/>
      <c r="L8" s="39"/>
      <c r="M8" s="39"/>
    </row>
    <row r="9" spans="1:13" ht="3.75" customHeight="1">
      <c r="A9" s="41"/>
      <c r="B9" s="41"/>
      <c r="C9" s="61"/>
      <c r="D9" s="41"/>
      <c r="E9" s="41"/>
      <c r="F9" s="42"/>
      <c r="G9" s="41"/>
      <c r="H9" s="41"/>
      <c r="I9" s="41"/>
      <c r="J9" s="41"/>
      <c r="K9" s="62"/>
      <c r="L9" s="42"/>
      <c r="M9" s="39"/>
    </row>
    <row r="10" spans="1:13" ht="18">
      <c r="A10" s="39"/>
      <c r="B10" s="41"/>
      <c r="C10" s="63" t="s">
        <v>72</v>
      </c>
      <c r="D10" s="64">
        <v>2</v>
      </c>
      <c r="E10" s="40"/>
      <c r="F10" s="42"/>
      <c r="G10" s="44"/>
      <c r="H10" s="45"/>
      <c r="I10" s="49"/>
      <c r="J10" s="50"/>
      <c r="K10" s="65"/>
      <c r="L10" s="42"/>
      <c r="M10" s="40"/>
    </row>
    <row r="11" spans="1:13" ht="18">
      <c r="A11" s="39"/>
      <c r="B11" s="41"/>
      <c r="C11" s="66" t="s">
        <v>73</v>
      </c>
      <c r="D11" s="64">
        <v>2</v>
      </c>
      <c r="E11" s="40"/>
      <c r="F11" s="42"/>
      <c r="G11" s="44"/>
      <c r="H11" s="45"/>
      <c r="I11" s="49"/>
      <c r="J11" s="50"/>
      <c r="K11" s="65"/>
      <c r="L11" s="42"/>
      <c r="M11" s="40"/>
    </row>
    <row r="12" spans="1:13" ht="18.75" thickBot="1">
      <c r="A12" s="39"/>
      <c r="B12" s="41"/>
      <c r="C12" s="67" t="s">
        <v>74</v>
      </c>
      <c r="D12" s="68">
        <v>3</v>
      </c>
      <c r="E12" s="40"/>
      <c r="F12" s="42"/>
      <c r="G12" s="44"/>
      <c r="H12" s="45"/>
      <c r="I12" s="67"/>
      <c r="J12" s="69"/>
      <c r="K12" s="70"/>
      <c r="L12" s="42"/>
      <c r="M12" s="40"/>
    </row>
    <row r="13" spans="1:14" ht="18.75" thickTop="1">
      <c r="A13" s="39"/>
      <c r="B13" s="41"/>
      <c r="C13" s="63" t="s">
        <v>75</v>
      </c>
      <c r="D13" s="71">
        <v>0.001388888888888889</v>
      </c>
      <c r="E13" s="40"/>
      <c r="F13" s="42"/>
      <c r="G13" s="44"/>
      <c r="H13" s="45"/>
      <c r="I13" s="63" t="s">
        <v>76</v>
      </c>
      <c r="J13" s="47">
        <f>(D10*D13)+D16*(D10)+D17</f>
        <v>0.005555555555555556</v>
      </c>
      <c r="K13" s="48" t="s">
        <v>77</v>
      </c>
      <c r="L13" s="42"/>
      <c r="M13" s="40"/>
      <c r="N13" s="313"/>
    </row>
    <row r="14" spans="1:13" ht="18">
      <c r="A14" s="39"/>
      <c r="B14" s="41"/>
      <c r="C14" s="66" t="s">
        <v>78</v>
      </c>
      <c r="D14" s="72">
        <v>0.001388888888888889</v>
      </c>
      <c r="E14" s="40"/>
      <c r="F14" s="42"/>
      <c r="G14" s="44"/>
      <c r="H14" s="45"/>
      <c r="I14" s="66" t="s">
        <v>79</v>
      </c>
      <c r="J14" s="73">
        <f>IF(OR(D11="",D11=0),"",D11*D14+D11*D16+D17)</f>
        <v>0.005555555555555556</v>
      </c>
      <c r="K14" s="74" t="str">
        <f>IF(MatchTimeB="","","Min")</f>
        <v>Min</v>
      </c>
      <c r="L14" s="42"/>
      <c r="M14" s="40"/>
    </row>
    <row r="15" spans="1:13" ht="18.75" thickBot="1">
      <c r="A15" s="39"/>
      <c r="B15" s="41"/>
      <c r="C15" s="75" t="s">
        <v>80</v>
      </c>
      <c r="D15" s="76">
        <v>0.001388888888888889</v>
      </c>
      <c r="E15" s="40"/>
      <c r="F15" s="42"/>
      <c r="G15" s="44"/>
      <c r="H15" s="45"/>
      <c r="I15" s="75" t="s">
        <v>81</v>
      </c>
      <c r="J15" s="77">
        <f>D12*D15+D12*D16+D17</f>
        <v>0.0076388888888888895</v>
      </c>
      <c r="K15" s="78" t="s">
        <v>77</v>
      </c>
      <c r="L15" s="42"/>
      <c r="M15" s="40"/>
    </row>
    <row r="16" spans="1:13" ht="18.75" thickTop="1">
      <c r="A16" s="39"/>
      <c r="B16" s="41"/>
      <c r="C16" s="63" t="s">
        <v>82</v>
      </c>
      <c r="D16" s="71">
        <v>0.0006944444444444445</v>
      </c>
      <c r="E16" s="40"/>
      <c r="F16" s="42"/>
      <c r="G16" s="40"/>
      <c r="H16" s="42"/>
      <c r="I16" s="49"/>
      <c r="J16" s="50"/>
      <c r="K16" s="65"/>
      <c r="L16" s="42"/>
      <c r="M16" s="40"/>
    </row>
    <row r="17" spans="1:13" ht="18">
      <c r="A17" s="39"/>
      <c r="B17" s="41"/>
      <c r="C17" s="49" t="s">
        <v>83</v>
      </c>
      <c r="D17" s="79">
        <v>0.001388888888888889</v>
      </c>
      <c r="E17" s="40"/>
      <c r="F17" s="42"/>
      <c r="G17" s="40"/>
      <c r="H17" s="42"/>
      <c r="I17" s="49"/>
      <c r="J17" s="50"/>
      <c r="K17" s="51"/>
      <c r="L17" s="42"/>
      <c r="M17" s="40"/>
    </row>
    <row r="18" spans="1:13" ht="3.75" customHeight="1">
      <c r="A18" s="39"/>
      <c r="B18" s="41"/>
      <c r="C18" s="61"/>
      <c r="D18" s="41"/>
      <c r="E18" s="41"/>
      <c r="F18" s="42"/>
      <c r="G18" s="42"/>
      <c r="H18" s="42"/>
      <c r="I18" s="41"/>
      <c r="J18" s="41"/>
      <c r="K18" s="62"/>
      <c r="L18" s="42"/>
      <c r="M18" s="40"/>
    </row>
    <row r="19" spans="1:13" ht="3.75" customHeight="1">
      <c r="A19" s="39"/>
      <c r="B19" s="39"/>
      <c r="C19" s="80"/>
      <c r="D19" s="39"/>
      <c r="E19" s="39"/>
      <c r="F19" s="40"/>
      <c r="G19" s="40"/>
      <c r="H19" s="40"/>
      <c r="I19" s="39"/>
      <c r="J19" s="39"/>
      <c r="K19" s="56"/>
      <c r="L19" s="40"/>
      <c r="M19" s="40"/>
    </row>
    <row r="20" spans="1:13" ht="3.75" customHeight="1">
      <c r="A20" s="39"/>
      <c r="B20" s="81"/>
      <c r="C20" s="82"/>
      <c r="D20" s="81"/>
      <c r="E20" s="81"/>
      <c r="F20" s="83"/>
      <c r="G20" s="83"/>
      <c r="H20" s="83"/>
      <c r="I20" s="81"/>
      <c r="J20" s="81"/>
      <c r="K20" s="84"/>
      <c r="L20" s="83"/>
      <c r="M20" s="83"/>
    </row>
    <row r="21" spans="1:13" ht="4.5" customHeight="1">
      <c r="A21" s="39"/>
      <c r="B21" s="39"/>
      <c r="C21" s="80"/>
      <c r="D21" s="39"/>
      <c r="E21" s="39"/>
      <c r="F21" s="40"/>
      <c r="G21" s="40"/>
      <c r="H21" s="40"/>
      <c r="I21" s="39"/>
      <c r="J21" s="39"/>
      <c r="K21" s="56"/>
      <c r="L21" s="40"/>
      <c r="M21" s="40"/>
    </row>
    <row r="22" spans="1:13" ht="3.75" customHeight="1">
      <c r="A22" s="39"/>
      <c r="B22" s="41"/>
      <c r="C22" s="61"/>
      <c r="D22" s="41"/>
      <c r="E22" s="41"/>
      <c r="F22" s="42"/>
      <c r="G22" s="40"/>
      <c r="H22" s="42"/>
      <c r="I22" s="41"/>
      <c r="J22" s="41"/>
      <c r="K22" s="62"/>
      <c r="L22" s="42"/>
      <c r="M22" s="40"/>
    </row>
    <row r="23" spans="1:13" ht="18">
      <c r="A23" s="39"/>
      <c r="B23" s="43"/>
      <c r="C23" s="85"/>
      <c r="D23" s="86"/>
      <c r="E23" s="40"/>
      <c r="F23" s="42"/>
      <c r="G23" s="44"/>
      <c r="H23" s="45"/>
      <c r="I23" s="85" t="s">
        <v>84</v>
      </c>
      <c r="J23" s="47">
        <f>D3</f>
        <v>0.5</v>
      </c>
      <c r="K23" s="48"/>
      <c r="L23" s="42"/>
      <c r="M23" s="44"/>
    </row>
    <row r="24" spans="1:15" ht="18">
      <c r="A24" s="39"/>
      <c r="B24" s="43"/>
      <c r="C24" s="49" t="s">
        <v>85</v>
      </c>
      <c r="D24" s="79">
        <v>0</v>
      </c>
      <c r="E24" s="40"/>
      <c r="F24" s="42"/>
      <c r="G24" s="44"/>
      <c r="H24" s="45"/>
      <c r="I24" s="87" t="s">
        <v>86</v>
      </c>
      <c r="J24" s="73">
        <f>MAX(HjArk!Q4:Q6)</f>
        <v>0.5722222222222222</v>
      </c>
      <c r="K24" s="88"/>
      <c r="L24" s="42"/>
      <c r="M24" s="44"/>
      <c r="N24" s="52"/>
      <c r="O24" s="52"/>
    </row>
    <row r="25" spans="1:13" ht="3.75" customHeight="1">
      <c r="A25" s="39"/>
      <c r="B25" s="42"/>
      <c r="C25" s="89"/>
      <c r="D25" s="42"/>
      <c r="E25" s="42"/>
      <c r="F25" s="42"/>
      <c r="G25" s="44"/>
      <c r="H25" s="45"/>
      <c r="I25" s="90"/>
      <c r="J25" s="42"/>
      <c r="K25" s="54"/>
      <c r="L25" s="42"/>
      <c r="M25" s="44"/>
    </row>
    <row r="26" spans="1:13" ht="4.5" customHeight="1">
      <c r="A26" s="39"/>
      <c r="B26" s="40"/>
      <c r="C26" s="91"/>
      <c r="D26" s="40"/>
      <c r="E26" s="40"/>
      <c r="F26" s="40"/>
      <c r="G26" s="40"/>
      <c r="H26" s="40"/>
      <c r="I26" s="92"/>
      <c r="J26" s="39"/>
      <c r="K26" s="56"/>
      <c r="L26" s="39"/>
      <c r="M26" s="39"/>
    </row>
    <row r="27" spans="2:11" ht="3.75" customHeight="1">
      <c r="B27" s="57"/>
      <c r="C27" s="93"/>
      <c r="D27" s="57"/>
      <c r="E27" s="57"/>
      <c r="F27" s="57"/>
      <c r="G27" s="59"/>
      <c r="H27" s="59"/>
      <c r="I27" s="94"/>
      <c r="K27" s="60"/>
    </row>
    <row r="28" spans="1:13" ht="4.5" customHeight="1">
      <c r="A28" s="39"/>
      <c r="B28" s="39"/>
      <c r="C28" s="95"/>
      <c r="D28" s="39"/>
      <c r="E28" s="39"/>
      <c r="F28" s="40"/>
      <c r="G28" s="40"/>
      <c r="H28" s="40"/>
      <c r="I28" s="92"/>
      <c r="J28" s="39"/>
      <c r="K28" s="56"/>
      <c r="L28" s="40"/>
      <c r="M28" s="40"/>
    </row>
    <row r="29" spans="1:13" ht="3.75" customHeight="1">
      <c r="A29" s="39"/>
      <c r="B29" s="41"/>
      <c r="C29" s="96"/>
      <c r="D29" s="41"/>
      <c r="E29" s="41"/>
      <c r="F29" s="42"/>
      <c r="G29" s="40"/>
      <c r="H29" s="42"/>
      <c r="I29" s="97"/>
      <c r="J29" s="41"/>
      <c r="K29" s="62"/>
      <c r="L29" s="42"/>
      <c r="M29" s="40"/>
    </row>
    <row r="30" spans="1:13" ht="18">
      <c r="A30" s="39"/>
      <c r="B30" s="43"/>
      <c r="C30" s="63"/>
      <c r="D30" s="98"/>
      <c r="E30" s="40"/>
      <c r="F30" s="42"/>
      <c r="G30" s="44"/>
      <c r="H30" s="45"/>
      <c r="I30" s="63" t="s">
        <v>87</v>
      </c>
      <c r="J30" s="47">
        <f>IF(MatchTimeB="","",J24+D24)</f>
        <v>0.5722222222222222</v>
      </c>
      <c r="K30" s="48"/>
      <c r="L30" s="42"/>
      <c r="M30" s="44"/>
    </row>
    <row r="31" spans="1:13" ht="18">
      <c r="A31" s="39"/>
      <c r="B31" s="42"/>
      <c r="C31" s="49" t="s">
        <v>88</v>
      </c>
      <c r="D31" s="79">
        <v>0</v>
      </c>
      <c r="E31" s="40"/>
      <c r="F31" s="42"/>
      <c r="G31" s="44"/>
      <c r="H31" s="45"/>
      <c r="I31" s="49" t="s">
        <v>89</v>
      </c>
      <c r="J31" s="50">
        <f>IF(MatchTimeB="","",J30+(MatchTimeB*MAX(Tables!F39:F41)))</f>
        <v>0.5888888888888889</v>
      </c>
      <c r="K31" s="51"/>
      <c r="L31" s="42"/>
      <c r="M31" s="44"/>
    </row>
    <row r="32" spans="1:13" ht="3.75" customHeight="1">
      <c r="A32" s="39"/>
      <c r="B32" s="42"/>
      <c r="C32" s="89"/>
      <c r="D32" s="42"/>
      <c r="E32" s="42"/>
      <c r="F32" s="42"/>
      <c r="G32" s="44"/>
      <c r="H32" s="45"/>
      <c r="I32" s="90"/>
      <c r="J32" s="42"/>
      <c r="K32" s="54"/>
      <c r="L32" s="42"/>
      <c r="M32" s="44"/>
    </row>
    <row r="33" spans="1:13" ht="4.5" customHeight="1">
      <c r="A33" s="39"/>
      <c r="B33" s="40"/>
      <c r="C33" s="91"/>
      <c r="D33" s="40"/>
      <c r="E33" s="40"/>
      <c r="F33" s="40"/>
      <c r="G33" s="40"/>
      <c r="H33" s="40"/>
      <c r="I33" s="92"/>
      <c r="J33" s="39"/>
      <c r="K33" s="56"/>
      <c r="L33" s="39"/>
      <c r="M33" s="39"/>
    </row>
    <row r="34" spans="2:11" ht="3.75" customHeight="1">
      <c r="B34" s="99"/>
      <c r="C34" s="100"/>
      <c r="D34" s="59"/>
      <c r="E34" s="59"/>
      <c r="F34" s="59"/>
      <c r="G34" s="59"/>
      <c r="H34" s="59"/>
      <c r="I34" s="101"/>
      <c r="K34" s="60"/>
    </row>
    <row r="35" spans="1:13" ht="4.5" customHeight="1">
      <c r="A35" s="39"/>
      <c r="B35" s="39"/>
      <c r="C35" s="95"/>
      <c r="D35" s="39"/>
      <c r="E35" s="39"/>
      <c r="F35" s="40"/>
      <c r="G35" s="40"/>
      <c r="H35" s="40"/>
      <c r="I35" s="92"/>
      <c r="J35" s="39"/>
      <c r="K35" s="56"/>
      <c r="L35" s="40"/>
      <c r="M35" s="40"/>
    </row>
    <row r="36" spans="1:13" ht="3.75" customHeight="1">
      <c r="A36" s="39"/>
      <c r="B36" s="41"/>
      <c r="C36" s="96"/>
      <c r="D36" s="41"/>
      <c r="E36" s="41"/>
      <c r="F36" s="42"/>
      <c r="G36" s="40"/>
      <c r="H36" s="42"/>
      <c r="I36" s="97"/>
      <c r="J36" s="41"/>
      <c r="K36" s="62"/>
      <c r="L36" s="42"/>
      <c r="M36" s="40"/>
    </row>
    <row r="37" spans="1:13" ht="18">
      <c r="A37" s="39"/>
      <c r="B37" s="43"/>
      <c r="C37" s="440" t="s">
        <v>90</v>
      </c>
      <c r="D37" s="441">
        <f ca="1">NOW()</f>
        <v>40965.62996423611</v>
      </c>
      <c r="E37" s="40"/>
      <c r="F37" s="42"/>
      <c r="G37" s="44"/>
      <c r="H37" s="45"/>
      <c r="I37" s="63" t="s">
        <v>91</v>
      </c>
      <c r="J37" s="47">
        <f>IF(MatchTimeB="",J24+D24,J31+D31)</f>
        <v>0.5888888888888889</v>
      </c>
      <c r="K37" s="48"/>
      <c r="L37" s="42"/>
      <c r="M37" s="44"/>
    </row>
    <row r="38" spans="1:14" ht="18">
      <c r="A38" s="39"/>
      <c r="B38" s="42"/>
      <c r="C38" s="440"/>
      <c r="D38" s="441"/>
      <c r="E38" s="40"/>
      <c r="F38" s="42"/>
      <c r="G38" s="44"/>
      <c r="H38" s="45"/>
      <c r="I38" s="49" t="s">
        <v>92</v>
      </c>
      <c r="J38" s="50">
        <f>J37+(MatchTimeF*MAX(Tables!G39:H41))</f>
        <v>0.6270833333333333</v>
      </c>
      <c r="K38" s="51"/>
      <c r="L38" s="42"/>
      <c r="M38" s="44"/>
      <c r="N38" s="52"/>
    </row>
    <row r="39" spans="1:13" ht="3.75" customHeight="1">
      <c r="A39" s="39"/>
      <c r="B39" s="42"/>
      <c r="C39" s="42"/>
      <c r="D39" s="42"/>
      <c r="E39" s="42"/>
      <c r="F39" s="42"/>
      <c r="G39" s="44"/>
      <c r="H39" s="45"/>
      <c r="I39" s="42"/>
      <c r="J39" s="42"/>
      <c r="K39" s="42"/>
      <c r="L39" s="42"/>
      <c r="M39" s="44"/>
    </row>
    <row r="40" spans="1:13" ht="4.5" customHeight="1">
      <c r="A40" s="39"/>
      <c r="B40" s="40"/>
      <c r="C40" s="40"/>
      <c r="D40" s="40"/>
      <c r="E40" s="40"/>
      <c r="F40" s="40"/>
      <c r="G40" s="40"/>
      <c r="H40" s="40"/>
      <c r="I40" s="39"/>
      <c r="J40" s="39"/>
      <c r="K40" s="39"/>
      <c r="L40" s="39"/>
      <c r="M40" s="39"/>
    </row>
    <row r="41" spans="2:9" ht="3" customHeight="1">
      <c r="B41" s="102"/>
      <c r="D41" s="8"/>
      <c r="E41" s="8"/>
      <c r="F41" s="8"/>
      <c r="G41" s="99"/>
      <c r="H41" s="99"/>
      <c r="I41" s="99"/>
    </row>
    <row r="42" spans="2:11" ht="3.75" customHeight="1">
      <c r="B42" s="99"/>
      <c r="C42" s="94"/>
      <c r="D42" s="59"/>
      <c r="E42" s="59"/>
      <c r="F42" s="59"/>
      <c r="G42" s="59"/>
      <c r="H42" s="59"/>
      <c r="I42" s="101"/>
      <c r="K42" s="60"/>
    </row>
    <row r="43" spans="2:6" ht="13.5" thickBot="1">
      <c r="B43" s="102"/>
      <c r="D43" s="99"/>
      <c r="E43" s="99"/>
      <c r="F43" s="99"/>
    </row>
    <row r="44" spans="2:11" ht="21" thickTop="1">
      <c r="B44" s="3">
        <v>0</v>
      </c>
      <c r="C44" s="437" t="s">
        <v>97</v>
      </c>
      <c r="D44" s="438"/>
      <c r="E44" s="438"/>
      <c r="F44" s="438"/>
      <c r="G44" s="438"/>
      <c r="H44" s="438"/>
      <c r="I44" s="438"/>
      <c r="J44" s="438"/>
      <c r="K44" s="439"/>
    </row>
    <row r="45" spans="2:11" ht="20.25">
      <c r="B45" s="3">
        <v>1</v>
      </c>
      <c r="C45" s="429" t="s">
        <v>93</v>
      </c>
      <c r="D45" s="430"/>
      <c r="E45" s="430"/>
      <c r="F45" s="430"/>
      <c r="G45" s="430"/>
      <c r="H45" s="430"/>
      <c r="I45" s="430"/>
      <c r="J45" s="430"/>
      <c r="K45" s="431"/>
    </row>
    <row r="46" spans="2:11" ht="20.25">
      <c r="B46" s="3">
        <v>2</v>
      </c>
      <c r="C46" s="429" t="s">
        <v>94</v>
      </c>
      <c r="D46" s="430"/>
      <c r="E46" s="430"/>
      <c r="F46" s="430"/>
      <c r="G46" s="430"/>
      <c r="H46" s="430"/>
      <c r="I46" s="430"/>
      <c r="J46" s="430"/>
      <c r="K46" s="431"/>
    </row>
    <row r="47" spans="2:11" ht="20.25">
      <c r="B47" s="3">
        <v>3</v>
      </c>
      <c r="C47" s="429" t="s">
        <v>95</v>
      </c>
      <c r="D47" s="430"/>
      <c r="E47" s="430"/>
      <c r="F47" s="430"/>
      <c r="G47" s="430"/>
      <c r="H47" s="430"/>
      <c r="I47" s="430"/>
      <c r="J47" s="430"/>
      <c r="K47" s="431"/>
    </row>
    <row r="48" spans="2:11" ht="21" thickBot="1">
      <c r="B48" s="3">
        <v>4</v>
      </c>
      <c r="C48" s="432" t="s">
        <v>96</v>
      </c>
      <c r="D48" s="433"/>
      <c r="E48" s="433"/>
      <c r="F48" s="433"/>
      <c r="G48" s="433"/>
      <c r="H48" s="433"/>
      <c r="I48" s="433"/>
      <c r="J48" s="433"/>
      <c r="K48" s="434"/>
    </row>
    <row r="49" ht="13.5" thickTop="1"/>
  </sheetData>
  <sheetProtection/>
  <mergeCells count="9">
    <mergeCell ref="C46:K46"/>
    <mergeCell ref="C47:K47"/>
    <mergeCell ref="C48:K48"/>
    <mergeCell ref="C3:C4"/>
    <mergeCell ref="D3:D4"/>
    <mergeCell ref="C44:K44"/>
    <mergeCell ref="C45:K45"/>
    <mergeCell ref="C37:C38"/>
    <mergeCell ref="D37:D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I53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9.421875" style="0" bestFit="1" customWidth="1"/>
    <col min="2" max="2" width="13.8515625" style="0" customWidth="1"/>
    <col min="3" max="3" width="29.8515625" style="0" customWidth="1"/>
    <col min="4" max="4" width="25.140625" style="0" customWidth="1"/>
    <col min="5" max="5" width="5.57421875" style="0" bestFit="1" customWidth="1"/>
    <col min="6" max="7" width="28.57421875" style="0" customWidth="1"/>
    <col min="8" max="8" width="9.8515625" style="0" bestFit="1" customWidth="1"/>
    <col min="9" max="9" width="10.28125" style="0" bestFit="1" customWidth="1"/>
    <col min="10" max="10" width="1.7109375" style="0" customWidth="1"/>
  </cols>
  <sheetData>
    <row r="1" spans="1:9" ht="21" thickBot="1">
      <c r="A1" s="262" t="s">
        <v>0</v>
      </c>
      <c r="B1" s="262" t="s">
        <v>48</v>
      </c>
      <c r="C1" s="262" t="s">
        <v>49</v>
      </c>
      <c r="D1" s="262" t="s">
        <v>50</v>
      </c>
      <c r="E1" s="275" t="s">
        <v>51</v>
      </c>
      <c r="F1" s="262" t="s">
        <v>52</v>
      </c>
      <c r="G1" s="262" t="s">
        <v>50</v>
      </c>
      <c r="H1" s="262" t="s">
        <v>170</v>
      </c>
      <c r="I1" s="262" t="s">
        <v>3</v>
      </c>
    </row>
    <row r="2" spans="1:9" ht="12.75">
      <c r="A2" s="263" t="s">
        <v>230</v>
      </c>
      <c r="B2" s="264">
        <v>1</v>
      </c>
      <c r="C2" s="263" t="s">
        <v>231</v>
      </c>
      <c r="D2" s="265" t="s">
        <v>229</v>
      </c>
      <c r="E2" s="266" t="s">
        <v>55</v>
      </c>
      <c r="F2" s="402" t="s">
        <v>243</v>
      </c>
      <c r="G2" s="402" t="s">
        <v>237</v>
      </c>
      <c r="H2" s="292">
        <v>0.5</v>
      </c>
      <c r="I2" s="329" t="s">
        <v>5</v>
      </c>
    </row>
    <row r="3" spans="1:9" ht="12.75">
      <c r="A3" s="267" t="s">
        <v>230</v>
      </c>
      <c r="B3" s="268">
        <v>2</v>
      </c>
      <c r="C3" s="267" t="s">
        <v>244</v>
      </c>
      <c r="D3" s="269" t="s">
        <v>237</v>
      </c>
      <c r="E3" s="276" t="s">
        <v>55</v>
      </c>
      <c r="F3" s="270" t="s">
        <v>259</v>
      </c>
      <c r="G3" s="270" t="s">
        <v>258</v>
      </c>
      <c r="H3" s="283">
        <v>0.5055555555555555</v>
      </c>
      <c r="I3" s="330" t="s">
        <v>5</v>
      </c>
    </row>
    <row r="4" spans="1:9" ht="12.75">
      <c r="A4" s="267" t="s">
        <v>230</v>
      </c>
      <c r="B4" s="268">
        <v>3</v>
      </c>
      <c r="C4" s="267" t="s">
        <v>245</v>
      </c>
      <c r="D4" s="269" t="s">
        <v>237</v>
      </c>
      <c r="E4" s="276" t="s">
        <v>55</v>
      </c>
      <c r="F4" s="270" t="s">
        <v>260</v>
      </c>
      <c r="G4" s="270" t="s">
        <v>258</v>
      </c>
      <c r="H4" s="283">
        <v>0.5111111111111111</v>
      </c>
      <c r="I4" s="330" t="s">
        <v>5</v>
      </c>
    </row>
    <row r="5" spans="1:9" ht="12.75">
      <c r="A5" s="267" t="s">
        <v>230</v>
      </c>
      <c r="B5" s="268">
        <v>4</v>
      </c>
      <c r="C5" s="267" t="s">
        <v>268</v>
      </c>
      <c r="D5" s="269" t="s">
        <v>269</v>
      </c>
      <c r="E5" s="276" t="s">
        <v>55</v>
      </c>
      <c r="F5" s="270" t="s">
        <v>276</v>
      </c>
      <c r="G5" s="270" t="s">
        <v>275</v>
      </c>
      <c r="H5" s="283">
        <v>0.5166666666666666</v>
      </c>
      <c r="I5" s="330" t="s">
        <v>5</v>
      </c>
    </row>
    <row r="6" spans="1:9" ht="12.75">
      <c r="A6" s="267" t="s">
        <v>230</v>
      </c>
      <c r="B6" s="268">
        <v>5</v>
      </c>
      <c r="C6" s="267" t="s">
        <v>295</v>
      </c>
      <c r="D6" s="269" t="s">
        <v>151</v>
      </c>
      <c r="E6" s="276" t="s">
        <v>55</v>
      </c>
      <c r="F6" s="270" t="s">
        <v>296</v>
      </c>
      <c r="G6" s="270" t="s">
        <v>151</v>
      </c>
      <c r="H6" s="283">
        <v>0.5222222222222221</v>
      </c>
      <c r="I6" s="330" t="s">
        <v>5</v>
      </c>
    </row>
    <row r="7" spans="1:9" ht="12.75">
      <c r="A7" s="267" t="s">
        <v>230</v>
      </c>
      <c r="B7" s="268">
        <v>6</v>
      </c>
      <c r="C7" s="267" t="s">
        <v>297</v>
      </c>
      <c r="D7" s="269" t="s">
        <v>151</v>
      </c>
      <c r="E7" s="276" t="s">
        <v>55</v>
      </c>
      <c r="F7" s="270" t="s">
        <v>298</v>
      </c>
      <c r="G7" s="270" t="s">
        <v>151</v>
      </c>
      <c r="H7" s="291">
        <v>0.5277777777777777</v>
      </c>
      <c r="I7" s="331" t="s">
        <v>5</v>
      </c>
    </row>
    <row r="8" spans="1:9" ht="12.75">
      <c r="A8" s="267" t="s">
        <v>230</v>
      </c>
      <c r="B8" s="270" t="s">
        <v>299</v>
      </c>
      <c r="C8" s="267" t="s">
        <v>300</v>
      </c>
      <c r="D8" s="269" t="s">
        <v>151</v>
      </c>
      <c r="E8" s="276" t="s">
        <v>55</v>
      </c>
      <c r="F8" s="270" t="s">
        <v>301</v>
      </c>
      <c r="G8" s="270" t="s">
        <v>151</v>
      </c>
      <c r="H8" s="283">
        <v>0.5666666666666667</v>
      </c>
      <c r="I8" s="330" t="s">
        <v>5</v>
      </c>
    </row>
    <row r="9" spans="1:9" ht="13.5" thickBot="1">
      <c r="A9" s="271" t="s">
        <v>230</v>
      </c>
      <c r="B9" s="272" t="s">
        <v>302</v>
      </c>
      <c r="C9" s="271" t="s">
        <v>303</v>
      </c>
      <c r="D9" s="273" t="s">
        <v>151</v>
      </c>
      <c r="E9" s="277" t="s">
        <v>55</v>
      </c>
      <c r="F9" s="272" t="s">
        <v>304</v>
      </c>
      <c r="G9" s="272" t="s">
        <v>151</v>
      </c>
      <c r="H9" s="284">
        <v>0.5888888888888889</v>
      </c>
      <c r="I9" s="332" t="s">
        <v>5</v>
      </c>
    </row>
    <row r="10" spans="1:9" ht="21" thickBot="1">
      <c r="A10" s="262" t="s">
        <v>0</v>
      </c>
      <c r="B10" s="262" t="s">
        <v>48</v>
      </c>
      <c r="C10" s="262" t="s">
        <v>49</v>
      </c>
      <c r="D10" s="262" t="s">
        <v>50</v>
      </c>
      <c r="E10" s="275" t="s">
        <v>51</v>
      </c>
      <c r="F10" s="262" t="s">
        <v>52</v>
      </c>
      <c r="G10" s="262" t="s">
        <v>50</v>
      </c>
      <c r="H10" s="262" t="s">
        <v>170</v>
      </c>
      <c r="I10" s="262" t="s">
        <v>3</v>
      </c>
    </row>
    <row r="11" spans="1:9" ht="12.75">
      <c r="A11" s="263" t="s">
        <v>235</v>
      </c>
      <c r="B11" s="264">
        <v>7</v>
      </c>
      <c r="C11" s="263" t="s">
        <v>236</v>
      </c>
      <c r="D11" s="265" t="s">
        <v>237</v>
      </c>
      <c r="E11" s="266" t="s">
        <v>55</v>
      </c>
      <c r="F11" s="402" t="s">
        <v>288</v>
      </c>
      <c r="G11" s="402" t="s">
        <v>289</v>
      </c>
      <c r="H11" s="292">
        <v>0.5333333333333332</v>
      </c>
      <c r="I11" s="329" t="s">
        <v>5</v>
      </c>
    </row>
    <row r="12" spans="1:9" ht="12.75">
      <c r="A12" s="267" t="s">
        <v>235</v>
      </c>
      <c r="B12" s="268">
        <v>8</v>
      </c>
      <c r="C12" s="267" t="s">
        <v>238</v>
      </c>
      <c r="D12" s="269" t="s">
        <v>237</v>
      </c>
      <c r="E12" s="276" t="s">
        <v>55</v>
      </c>
      <c r="F12" s="270" t="s">
        <v>290</v>
      </c>
      <c r="G12" s="270" t="s">
        <v>289</v>
      </c>
      <c r="H12" s="283">
        <v>0.5388888888888888</v>
      </c>
      <c r="I12" s="330" t="s">
        <v>5</v>
      </c>
    </row>
    <row r="13" spans="1:9" ht="12.75">
      <c r="A13" s="267" t="s">
        <v>235</v>
      </c>
      <c r="B13" s="268">
        <v>9</v>
      </c>
      <c r="C13" s="267" t="s">
        <v>305</v>
      </c>
      <c r="D13" s="269" t="s">
        <v>151</v>
      </c>
      <c r="E13" s="276" t="s">
        <v>55</v>
      </c>
      <c r="F13" s="270" t="s">
        <v>263</v>
      </c>
      <c r="G13" s="270" t="s">
        <v>202</v>
      </c>
      <c r="H13" s="283">
        <v>0.5444444444444443</v>
      </c>
      <c r="I13" s="330" t="s">
        <v>5</v>
      </c>
    </row>
    <row r="14" spans="1:9" ht="12.75">
      <c r="A14" s="267" t="s">
        <v>235</v>
      </c>
      <c r="B14" s="268">
        <v>10</v>
      </c>
      <c r="C14" s="267" t="s">
        <v>306</v>
      </c>
      <c r="D14" s="269" t="s">
        <v>151</v>
      </c>
      <c r="E14" s="276" t="s">
        <v>55</v>
      </c>
      <c r="F14" s="270" t="s">
        <v>284</v>
      </c>
      <c r="G14" s="270" t="s">
        <v>193</v>
      </c>
      <c r="H14" s="291">
        <v>0.5499999999999998</v>
      </c>
      <c r="I14" s="331" t="s">
        <v>5</v>
      </c>
    </row>
    <row r="15" spans="1:9" ht="12.75">
      <c r="A15" s="267" t="s">
        <v>235</v>
      </c>
      <c r="B15" s="270" t="s">
        <v>307</v>
      </c>
      <c r="C15" s="267" t="s">
        <v>308</v>
      </c>
      <c r="D15" s="269" t="s">
        <v>151</v>
      </c>
      <c r="E15" s="276" t="s">
        <v>55</v>
      </c>
      <c r="F15" s="270" t="s">
        <v>309</v>
      </c>
      <c r="G15" s="270" t="s">
        <v>151</v>
      </c>
      <c r="H15" s="283">
        <v>0.5722222222222222</v>
      </c>
      <c r="I15" s="330" t="s">
        <v>5</v>
      </c>
    </row>
    <row r="16" spans="1:9" ht="13.5" thickBot="1">
      <c r="A16" s="271" t="s">
        <v>235</v>
      </c>
      <c r="B16" s="272" t="s">
        <v>310</v>
      </c>
      <c r="C16" s="271" t="s">
        <v>311</v>
      </c>
      <c r="D16" s="273" t="s">
        <v>151</v>
      </c>
      <c r="E16" s="277" t="s">
        <v>55</v>
      </c>
      <c r="F16" s="272" t="s">
        <v>312</v>
      </c>
      <c r="G16" s="272" t="s">
        <v>151</v>
      </c>
      <c r="H16" s="284">
        <v>0.5965277777777778</v>
      </c>
      <c r="I16" s="332" t="s">
        <v>5</v>
      </c>
    </row>
    <row r="17" spans="1:9" ht="21" thickBot="1">
      <c r="A17" s="262" t="s">
        <v>0</v>
      </c>
      <c r="B17" s="262" t="s">
        <v>48</v>
      </c>
      <c r="C17" s="262" t="s">
        <v>49</v>
      </c>
      <c r="D17" s="262" t="s">
        <v>50</v>
      </c>
      <c r="E17" s="275" t="s">
        <v>51</v>
      </c>
      <c r="F17" s="262" t="s">
        <v>52</v>
      </c>
      <c r="G17" s="262" t="s">
        <v>50</v>
      </c>
      <c r="H17" s="262" t="s">
        <v>170</v>
      </c>
      <c r="I17" s="262" t="s">
        <v>3</v>
      </c>
    </row>
    <row r="18" spans="1:9" ht="12.75">
      <c r="A18" s="263" t="s">
        <v>253</v>
      </c>
      <c r="B18" s="264">
        <v>11</v>
      </c>
      <c r="C18" s="263" t="s">
        <v>254</v>
      </c>
      <c r="D18" s="265" t="s">
        <v>252</v>
      </c>
      <c r="E18" s="266" t="s">
        <v>55</v>
      </c>
      <c r="F18" s="402" t="s">
        <v>265</v>
      </c>
      <c r="G18" s="402" t="s">
        <v>202</v>
      </c>
      <c r="H18" s="292">
        <v>0.5555555555555554</v>
      </c>
      <c r="I18" s="329" t="s">
        <v>5</v>
      </c>
    </row>
    <row r="19" spans="1:9" ht="12.75">
      <c r="A19" s="267" t="s">
        <v>253</v>
      </c>
      <c r="B19" s="268">
        <v>12</v>
      </c>
      <c r="C19" s="267" t="s">
        <v>277</v>
      </c>
      <c r="D19" s="269" t="s">
        <v>275</v>
      </c>
      <c r="E19" s="276" t="s">
        <v>55</v>
      </c>
      <c r="F19" s="270" t="s">
        <v>292</v>
      </c>
      <c r="G19" s="270" t="s">
        <v>293</v>
      </c>
      <c r="H19" s="291">
        <v>0.5611111111111109</v>
      </c>
      <c r="I19" s="331" t="s">
        <v>5</v>
      </c>
    </row>
    <row r="20" spans="1:9" ht="12.75">
      <c r="A20" s="267" t="s">
        <v>253</v>
      </c>
      <c r="B20" s="270" t="s">
        <v>313</v>
      </c>
      <c r="C20" s="267" t="s">
        <v>314</v>
      </c>
      <c r="D20" s="269" t="s">
        <v>151</v>
      </c>
      <c r="E20" s="276" t="s">
        <v>55</v>
      </c>
      <c r="F20" s="270" t="s">
        <v>315</v>
      </c>
      <c r="G20" s="270" t="s">
        <v>151</v>
      </c>
      <c r="H20" s="283">
        <v>0.5777777777777777</v>
      </c>
      <c r="I20" s="330" t="s">
        <v>5</v>
      </c>
    </row>
    <row r="21" spans="1:9" ht="13.5" thickBot="1">
      <c r="A21" s="271" t="s">
        <v>253</v>
      </c>
      <c r="B21" s="272" t="s">
        <v>316</v>
      </c>
      <c r="C21" s="271" t="s">
        <v>317</v>
      </c>
      <c r="D21" s="273" t="s">
        <v>151</v>
      </c>
      <c r="E21" s="277" t="s">
        <v>55</v>
      </c>
      <c r="F21" s="272" t="s">
        <v>318</v>
      </c>
      <c r="G21" s="272" t="s">
        <v>151</v>
      </c>
      <c r="H21" s="284">
        <v>0.6041666666666666</v>
      </c>
      <c r="I21" s="332" t="s">
        <v>5</v>
      </c>
    </row>
    <row r="22" spans="1:9" ht="21" thickBot="1">
      <c r="A22" s="262" t="s">
        <v>0</v>
      </c>
      <c r="B22" s="262" t="s">
        <v>48</v>
      </c>
      <c r="C22" s="262" t="s">
        <v>49</v>
      </c>
      <c r="D22" s="262" t="s">
        <v>50</v>
      </c>
      <c r="E22" s="275" t="s">
        <v>51</v>
      </c>
      <c r="F22" s="262" t="s">
        <v>52</v>
      </c>
      <c r="G22" s="262" t="s">
        <v>50</v>
      </c>
      <c r="H22" s="262" t="s">
        <v>170</v>
      </c>
      <c r="I22" s="262" t="s">
        <v>3</v>
      </c>
    </row>
    <row r="23" spans="1:9" ht="13.5" thickBot="1">
      <c r="A23" s="271" t="s">
        <v>239</v>
      </c>
      <c r="B23" s="272" t="s">
        <v>319</v>
      </c>
      <c r="C23" s="271" t="s">
        <v>240</v>
      </c>
      <c r="D23" s="273" t="s">
        <v>237</v>
      </c>
      <c r="E23" s="277" t="s">
        <v>55</v>
      </c>
      <c r="F23" s="272" t="s">
        <v>280</v>
      </c>
      <c r="G23" s="272" t="s">
        <v>281</v>
      </c>
      <c r="H23" s="284">
        <v>0.6118055555555555</v>
      </c>
      <c r="I23" s="332" t="s">
        <v>5</v>
      </c>
    </row>
    <row r="24" spans="1:9" ht="21" thickBot="1">
      <c r="A24" s="262" t="s">
        <v>0</v>
      </c>
      <c r="B24" s="262" t="s">
        <v>48</v>
      </c>
      <c r="C24" s="262" t="s">
        <v>49</v>
      </c>
      <c r="D24" s="262" t="s">
        <v>50</v>
      </c>
      <c r="E24" s="275" t="s">
        <v>51</v>
      </c>
      <c r="F24" s="262" t="s">
        <v>52</v>
      </c>
      <c r="G24" s="262" t="s">
        <v>50</v>
      </c>
      <c r="H24" s="262" t="s">
        <v>170</v>
      </c>
      <c r="I24" s="262" t="s">
        <v>3</v>
      </c>
    </row>
    <row r="25" spans="1:9" ht="13.5" thickBot="1">
      <c r="A25" s="271" t="s">
        <v>241</v>
      </c>
      <c r="B25" s="272" t="s">
        <v>320</v>
      </c>
      <c r="C25" s="271" t="s">
        <v>242</v>
      </c>
      <c r="D25" s="273" t="s">
        <v>237</v>
      </c>
      <c r="E25" s="277" t="s">
        <v>55</v>
      </c>
      <c r="F25" s="272" t="s">
        <v>278</v>
      </c>
      <c r="G25" s="272" t="s">
        <v>275</v>
      </c>
      <c r="H25" s="284">
        <v>0.6194444444444444</v>
      </c>
      <c r="I25" s="332" t="s">
        <v>5</v>
      </c>
    </row>
    <row r="26" spans="1:9" ht="21" thickBot="1">
      <c r="A26" s="262" t="s">
        <v>0</v>
      </c>
      <c r="B26" s="262" t="s">
        <v>48</v>
      </c>
      <c r="C26" s="262" t="s">
        <v>49</v>
      </c>
      <c r="D26" s="262" t="s">
        <v>50</v>
      </c>
      <c r="E26" s="275" t="s">
        <v>51</v>
      </c>
      <c r="F26" s="262" t="s">
        <v>52</v>
      </c>
      <c r="G26" s="262" t="s">
        <v>50</v>
      </c>
      <c r="H26" s="262" t="s">
        <v>170</v>
      </c>
      <c r="I26" s="262" t="s">
        <v>3</v>
      </c>
    </row>
    <row r="27" spans="1:9" ht="12.75">
      <c r="A27" s="263" t="s">
        <v>232</v>
      </c>
      <c r="B27" s="264">
        <v>1</v>
      </c>
      <c r="C27" s="263" t="s">
        <v>233</v>
      </c>
      <c r="D27" s="265" t="s">
        <v>234</v>
      </c>
      <c r="E27" s="266" t="s">
        <v>55</v>
      </c>
      <c r="F27" s="402" t="s">
        <v>257</v>
      </c>
      <c r="G27" s="402" t="s">
        <v>258</v>
      </c>
      <c r="H27" s="292">
        <v>0.5</v>
      </c>
      <c r="I27" s="329" t="s">
        <v>25</v>
      </c>
    </row>
    <row r="28" spans="1:9" ht="12.75">
      <c r="A28" s="267" t="s">
        <v>232</v>
      </c>
      <c r="B28" s="268">
        <v>2</v>
      </c>
      <c r="C28" s="267" t="s">
        <v>266</v>
      </c>
      <c r="D28" s="269" t="s">
        <v>202</v>
      </c>
      <c r="E28" s="276" t="s">
        <v>55</v>
      </c>
      <c r="F28" s="270" t="s">
        <v>270</v>
      </c>
      <c r="G28" s="270" t="s">
        <v>269</v>
      </c>
      <c r="H28" s="283">
        <v>0.5055555555555555</v>
      </c>
      <c r="I28" s="330" t="s">
        <v>25</v>
      </c>
    </row>
    <row r="29" spans="1:9" ht="12.75">
      <c r="A29" s="267" t="s">
        <v>232</v>
      </c>
      <c r="B29" s="268">
        <v>3</v>
      </c>
      <c r="C29" s="267" t="s">
        <v>274</v>
      </c>
      <c r="D29" s="269" t="s">
        <v>275</v>
      </c>
      <c r="E29" s="276" t="s">
        <v>55</v>
      </c>
      <c r="F29" s="270" t="s">
        <v>282</v>
      </c>
      <c r="G29" s="270" t="s">
        <v>281</v>
      </c>
      <c r="H29" s="283">
        <v>0.5111111111111111</v>
      </c>
      <c r="I29" s="330" t="s">
        <v>25</v>
      </c>
    </row>
    <row r="30" spans="1:9" ht="12.75">
      <c r="A30" s="267" t="s">
        <v>232</v>
      </c>
      <c r="B30" s="268">
        <v>4</v>
      </c>
      <c r="C30" s="267" t="s">
        <v>285</v>
      </c>
      <c r="D30" s="269" t="s">
        <v>193</v>
      </c>
      <c r="E30" s="276" t="s">
        <v>55</v>
      </c>
      <c r="F30" s="270" t="s">
        <v>286</v>
      </c>
      <c r="G30" s="270" t="s">
        <v>287</v>
      </c>
      <c r="H30" s="283">
        <v>0.5166666666666666</v>
      </c>
      <c r="I30" s="330" t="s">
        <v>25</v>
      </c>
    </row>
    <row r="31" spans="1:9" ht="12.75">
      <c r="A31" s="267" t="s">
        <v>232</v>
      </c>
      <c r="B31" s="268">
        <v>5</v>
      </c>
      <c r="C31" s="267" t="s">
        <v>295</v>
      </c>
      <c r="D31" s="269" t="s">
        <v>151</v>
      </c>
      <c r="E31" s="276" t="s">
        <v>55</v>
      </c>
      <c r="F31" s="270" t="s">
        <v>296</v>
      </c>
      <c r="G31" s="270" t="s">
        <v>151</v>
      </c>
      <c r="H31" s="283">
        <v>0.5222222222222221</v>
      </c>
      <c r="I31" s="330" t="s">
        <v>25</v>
      </c>
    </row>
    <row r="32" spans="1:9" ht="12.75">
      <c r="A32" s="267" t="s">
        <v>232</v>
      </c>
      <c r="B32" s="268">
        <v>6</v>
      </c>
      <c r="C32" s="267" t="s">
        <v>297</v>
      </c>
      <c r="D32" s="269" t="s">
        <v>151</v>
      </c>
      <c r="E32" s="276" t="s">
        <v>55</v>
      </c>
      <c r="F32" s="270" t="s">
        <v>298</v>
      </c>
      <c r="G32" s="270" t="s">
        <v>151</v>
      </c>
      <c r="H32" s="291">
        <v>0.5277777777777777</v>
      </c>
      <c r="I32" s="331" t="s">
        <v>25</v>
      </c>
    </row>
    <row r="33" spans="1:9" ht="12.75">
      <c r="A33" s="267" t="s">
        <v>232</v>
      </c>
      <c r="B33" s="270" t="s">
        <v>299</v>
      </c>
      <c r="C33" s="267" t="s">
        <v>300</v>
      </c>
      <c r="D33" s="269" t="s">
        <v>151</v>
      </c>
      <c r="E33" s="276" t="s">
        <v>55</v>
      </c>
      <c r="F33" s="270" t="s">
        <v>301</v>
      </c>
      <c r="G33" s="270" t="s">
        <v>151</v>
      </c>
      <c r="H33" s="283">
        <v>0.5722222222222222</v>
      </c>
      <c r="I33" s="330" t="s">
        <v>25</v>
      </c>
    </row>
    <row r="34" spans="1:9" ht="13.5" thickBot="1">
      <c r="A34" s="271" t="s">
        <v>232</v>
      </c>
      <c r="B34" s="272" t="s">
        <v>302</v>
      </c>
      <c r="C34" s="271" t="s">
        <v>303</v>
      </c>
      <c r="D34" s="273" t="s">
        <v>151</v>
      </c>
      <c r="E34" s="277" t="s">
        <v>55</v>
      </c>
      <c r="F34" s="272" t="s">
        <v>304</v>
      </c>
      <c r="G34" s="272" t="s">
        <v>151</v>
      </c>
      <c r="H34" s="284">
        <v>0.5888888888888889</v>
      </c>
      <c r="I34" s="332" t="s">
        <v>25</v>
      </c>
    </row>
    <row r="35" spans="1:9" ht="21" thickBot="1">
      <c r="A35" s="262" t="s">
        <v>0</v>
      </c>
      <c r="B35" s="262" t="s">
        <v>48</v>
      </c>
      <c r="C35" s="262" t="s">
        <v>49</v>
      </c>
      <c r="D35" s="262" t="s">
        <v>50</v>
      </c>
      <c r="E35" s="275" t="s">
        <v>51</v>
      </c>
      <c r="F35" s="262" t="s">
        <v>52</v>
      </c>
      <c r="G35" s="262" t="s">
        <v>50</v>
      </c>
      <c r="H35" s="262" t="s">
        <v>170</v>
      </c>
      <c r="I35" s="262" t="s">
        <v>3</v>
      </c>
    </row>
    <row r="36" spans="1:9" ht="12.75">
      <c r="A36" s="263" t="s">
        <v>255</v>
      </c>
      <c r="B36" s="264">
        <v>7</v>
      </c>
      <c r="C36" s="263" t="s">
        <v>271</v>
      </c>
      <c r="D36" s="265" t="s">
        <v>269</v>
      </c>
      <c r="E36" s="266" t="s">
        <v>55</v>
      </c>
      <c r="F36" s="402" t="s">
        <v>267</v>
      </c>
      <c r="G36" s="402" t="s">
        <v>202</v>
      </c>
      <c r="H36" s="292">
        <v>0.5333333333333332</v>
      </c>
      <c r="I36" s="329" t="s">
        <v>25</v>
      </c>
    </row>
    <row r="37" spans="1:9" ht="12.75">
      <c r="A37" s="267" t="s">
        <v>255</v>
      </c>
      <c r="B37" s="268">
        <v>8</v>
      </c>
      <c r="C37" s="267" t="s">
        <v>256</v>
      </c>
      <c r="D37" s="269" t="s">
        <v>252</v>
      </c>
      <c r="E37" s="276" t="s">
        <v>55</v>
      </c>
      <c r="F37" s="270" t="s">
        <v>272</v>
      </c>
      <c r="G37" s="270" t="s">
        <v>269</v>
      </c>
      <c r="H37" s="291">
        <v>0.5388888888888888</v>
      </c>
      <c r="I37" s="331" t="s">
        <v>25</v>
      </c>
    </row>
    <row r="38" spans="1:9" ht="12.75">
      <c r="A38" s="267" t="s">
        <v>255</v>
      </c>
      <c r="B38" s="268">
        <v>9</v>
      </c>
      <c r="C38" s="267" t="s">
        <v>305</v>
      </c>
      <c r="D38" s="269" t="s">
        <v>151</v>
      </c>
      <c r="E38" s="276" t="s">
        <v>55</v>
      </c>
      <c r="F38" s="270" t="s">
        <v>279</v>
      </c>
      <c r="G38" s="270" t="s">
        <v>275</v>
      </c>
      <c r="H38" s="283">
        <v>0.5444444444444443</v>
      </c>
      <c r="I38" s="330" t="s">
        <v>25</v>
      </c>
    </row>
    <row r="39" spans="1:9" ht="12.75">
      <c r="A39" s="267" t="s">
        <v>255</v>
      </c>
      <c r="B39" s="270" t="s">
        <v>307</v>
      </c>
      <c r="C39" s="267" t="s">
        <v>308</v>
      </c>
      <c r="D39" s="269" t="s">
        <v>151</v>
      </c>
      <c r="E39" s="276" t="s">
        <v>55</v>
      </c>
      <c r="F39" s="270" t="s">
        <v>323</v>
      </c>
      <c r="G39" s="270" t="s">
        <v>151</v>
      </c>
      <c r="H39" s="283">
        <v>0.5777777777777777</v>
      </c>
      <c r="I39" s="330" t="s">
        <v>25</v>
      </c>
    </row>
    <row r="40" spans="1:9" ht="13.5" thickBot="1">
      <c r="A40" s="271" t="s">
        <v>255</v>
      </c>
      <c r="B40" s="272" t="s">
        <v>310</v>
      </c>
      <c r="C40" s="271" t="s">
        <v>311</v>
      </c>
      <c r="D40" s="273" t="s">
        <v>151</v>
      </c>
      <c r="E40" s="277" t="s">
        <v>55</v>
      </c>
      <c r="F40" s="272" t="s">
        <v>306</v>
      </c>
      <c r="G40" s="272" t="s">
        <v>151</v>
      </c>
      <c r="H40" s="284">
        <v>0.5965277777777778</v>
      </c>
      <c r="I40" s="332" t="s">
        <v>25</v>
      </c>
    </row>
    <row r="41" spans="1:9" ht="21" thickBot="1">
      <c r="A41" s="262" t="s">
        <v>0</v>
      </c>
      <c r="B41" s="262" t="s">
        <v>48</v>
      </c>
      <c r="C41" s="262" t="s">
        <v>49</v>
      </c>
      <c r="D41" s="262" t="s">
        <v>50</v>
      </c>
      <c r="E41" s="275" t="s">
        <v>51</v>
      </c>
      <c r="F41" s="262" t="s">
        <v>52</v>
      </c>
      <c r="G41" s="262" t="s">
        <v>50</v>
      </c>
      <c r="H41" s="262" t="s">
        <v>170</v>
      </c>
      <c r="I41" s="262" t="s">
        <v>3</v>
      </c>
    </row>
    <row r="42" spans="1:9" ht="12.75">
      <c r="A42" s="263" t="s">
        <v>250</v>
      </c>
      <c r="B42" s="264">
        <v>10</v>
      </c>
      <c r="C42" s="263" t="s">
        <v>283</v>
      </c>
      <c r="D42" s="265" t="s">
        <v>281</v>
      </c>
      <c r="E42" s="266" t="s">
        <v>55</v>
      </c>
      <c r="F42" s="402" t="s">
        <v>262</v>
      </c>
      <c r="G42" s="402" t="s">
        <v>202</v>
      </c>
      <c r="H42" s="292">
        <v>0.5499999999999998</v>
      </c>
      <c r="I42" s="329" t="s">
        <v>25</v>
      </c>
    </row>
    <row r="43" spans="1:9" ht="12.75">
      <c r="A43" s="267" t="s">
        <v>250</v>
      </c>
      <c r="B43" s="268">
        <v>11</v>
      </c>
      <c r="C43" s="267" t="s">
        <v>264</v>
      </c>
      <c r="D43" s="269" t="s">
        <v>202</v>
      </c>
      <c r="E43" s="276" t="s">
        <v>55</v>
      </c>
      <c r="F43" s="270" t="s">
        <v>251</v>
      </c>
      <c r="G43" s="270" t="s">
        <v>252</v>
      </c>
      <c r="H43" s="291">
        <v>0.5555555555555554</v>
      </c>
      <c r="I43" s="331" t="s">
        <v>25</v>
      </c>
    </row>
    <row r="44" spans="1:9" ht="12.75">
      <c r="A44" s="267" t="s">
        <v>250</v>
      </c>
      <c r="B44" s="270" t="s">
        <v>313</v>
      </c>
      <c r="C44" s="267" t="s">
        <v>309</v>
      </c>
      <c r="D44" s="269" t="s">
        <v>151</v>
      </c>
      <c r="E44" s="276" t="s">
        <v>55</v>
      </c>
      <c r="F44" s="270" t="s">
        <v>314</v>
      </c>
      <c r="G44" s="270" t="s">
        <v>151</v>
      </c>
      <c r="H44" s="283">
        <v>0.5833333333333333</v>
      </c>
      <c r="I44" s="330" t="s">
        <v>25</v>
      </c>
    </row>
    <row r="45" spans="1:9" ht="13.5" thickBot="1">
      <c r="A45" s="271" t="s">
        <v>250</v>
      </c>
      <c r="B45" s="272" t="s">
        <v>316</v>
      </c>
      <c r="C45" s="271" t="s">
        <v>312</v>
      </c>
      <c r="D45" s="273" t="s">
        <v>151</v>
      </c>
      <c r="E45" s="277" t="s">
        <v>55</v>
      </c>
      <c r="F45" s="272" t="s">
        <v>317</v>
      </c>
      <c r="G45" s="272" t="s">
        <v>151</v>
      </c>
      <c r="H45" s="284">
        <v>0.6041666666666666</v>
      </c>
      <c r="I45" s="332" t="s">
        <v>25</v>
      </c>
    </row>
    <row r="46" spans="1:9" ht="21" thickBot="1">
      <c r="A46" s="262" t="s">
        <v>0</v>
      </c>
      <c r="B46" s="262" t="s">
        <v>48</v>
      </c>
      <c r="C46" s="262" t="s">
        <v>49</v>
      </c>
      <c r="D46" s="262" t="s">
        <v>50</v>
      </c>
      <c r="E46" s="275" t="s">
        <v>51</v>
      </c>
      <c r="F46" s="262" t="s">
        <v>52</v>
      </c>
      <c r="G46" s="262" t="s">
        <v>50</v>
      </c>
      <c r="H46" s="262" t="s">
        <v>170</v>
      </c>
      <c r="I46" s="262" t="s">
        <v>3</v>
      </c>
    </row>
    <row r="47" spans="1:9" ht="12.75">
      <c r="A47" s="263" t="s">
        <v>246</v>
      </c>
      <c r="B47" s="264">
        <v>12</v>
      </c>
      <c r="C47" s="263" t="s">
        <v>261</v>
      </c>
      <c r="D47" s="265" t="s">
        <v>202</v>
      </c>
      <c r="E47" s="266" t="s">
        <v>55</v>
      </c>
      <c r="F47" s="402" t="s">
        <v>247</v>
      </c>
      <c r="G47" s="402" t="s">
        <v>237</v>
      </c>
      <c r="H47" s="292">
        <v>0.5611111111111109</v>
      </c>
      <c r="I47" s="329" t="s">
        <v>25</v>
      </c>
    </row>
    <row r="48" spans="1:9" ht="12.75">
      <c r="A48" s="267" t="s">
        <v>246</v>
      </c>
      <c r="B48" s="270" t="s">
        <v>324</v>
      </c>
      <c r="C48" s="267" t="s">
        <v>315</v>
      </c>
      <c r="D48" s="269" t="s">
        <v>151</v>
      </c>
      <c r="E48" s="276" t="s">
        <v>55</v>
      </c>
      <c r="F48" s="270" t="s">
        <v>151</v>
      </c>
      <c r="G48" s="270" t="s">
        <v>151</v>
      </c>
      <c r="H48" s="283" t="s">
        <v>325</v>
      </c>
      <c r="I48" s="330" t="s">
        <v>25</v>
      </c>
    </row>
    <row r="49" spans="1:9" ht="13.5" thickBot="1">
      <c r="A49" s="271" t="s">
        <v>246</v>
      </c>
      <c r="B49" s="272" t="s">
        <v>319</v>
      </c>
      <c r="C49" s="271" t="s">
        <v>318</v>
      </c>
      <c r="D49" s="273" t="s">
        <v>151</v>
      </c>
      <c r="E49" s="277" t="s">
        <v>55</v>
      </c>
      <c r="F49" s="272" t="s">
        <v>248</v>
      </c>
      <c r="G49" s="272" t="s">
        <v>249</v>
      </c>
      <c r="H49" s="284">
        <v>0.6118055555555555</v>
      </c>
      <c r="I49" s="332" t="s">
        <v>25</v>
      </c>
    </row>
    <row r="50" spans="1:9" ht="21" thickBot="1">
      <c r="A50" s="262" t="s">
        <v>0</v>
      </c>
      <c r="B50" s="262" t="s">
        <v>48</v>
      </c>
      <c r="C50" s="262" t="s">
        <v>49</v>
      </c>
      <c r="D50" s="262" t="s">
        <v>50</v>
      </c>
      <c r="E50" s="275" t="s">
        <v>51</v>
      </c>
      <c r="F50" s="262" t="s">
        <v>52</v>
      </c>
      <c r="G50" s="262" t="s">
        <v>50</v>
      </c>
      <c r="H50" s="262" t="s">
        <v>170</v>
      </c>
      <c r="I50" s="262" t="s">
        <v>3</v>
      </c>
    </row>
    <row r="51" spans="1:9" ht="12.75">
      <c r="A51" s="263" t="s">
        <v>227</v>
      </c>
      <c r="B51" s="264">
        <v>13</v>
      </c>
      <c r="C51" s="263" t="s">
        <v>291</v>
      </c>
      <c r="D51" s="265" t="s">
        <v>289</v>
      </c>
      <c r="E51" s="266" t="s">
        <v>55</v>
      </c>
      <c r="F51" s="402" t="s">
        <v>228</v>
      </c>
      <c r="G51" s="402" t="s">
        <v>229</v>
      </c>
      <c r="H51" s="292">
        <v>0.5666666666666664</v>
      </c>
      <c r="I51" s="329" t="s">
        <v>25</v>
      </c>
    </row>
    <row r="52" spans="1:9" ht="12.75">
      <c r="A52" s="267" t="s">
        <v>227</v>
      </c>
      <c r="B52" s="270" t="s">
        <v>324</v>
      </c>
      <c r="C52" s="267" t="s">
        <v>326</v>
      </c>
      <c r="D52" s="269" t="s">
        <v>151</v>
      </c>
      <c r="E52" s="276" t="s">
        <v>55</v>
      </c>
      <c r="F52" s="270" t="s">
        <v>151</v>
      </c>
      <c r="G52" s="270" t="s">
        <v>151</v>
      </c>
      <c r="H52" s="283" t="s">
        <v>325</v>
      </c>
      <c r="I52" s="330" t="s">
        <v>25</v>
      </c>
    </row>
    <row r="53" spans="1:9" ht="13.5" thickBot="1">
      <c r="A53" s="271" t="s">
        <v>227</v>
      </c>
      <c r="B53" s="272" t="s">
        <v>320</v>
      </c>
      <c r="C53" s="271" t="s">
        <v>321</v>
      </c>
      <c r="D53" s="273" t="s">
        <v>151</v>
      </c>
      <c r="E53" s="277" t="s">
        <v>55</v>
      </c>
      <c r="F53" s="272" t="s">
        <v>273</v>
      </c>
      <c r="G53" s="272" t="s">
        <v>269</v>
      </c>
      <c r="H53" s="284">
        <v>0.6194444444444444</v>
      </c>
      <c r="I53" s="332" t="s">
        <v>25</v>
      </c>
    </row>
  </sheetData>
  <sheetProtection/>
  <printOptions horizontalCentered="1"/>
  <pageMargins left="0.1968503937007874" right="0.2755905511811024" top="0.3937007874015748" bottom="1.0236220472440944" header="0.2362204724409449" footer="0.1968503937007874"/>
  <pageSetup blackAndWhite="1" fitToHeight="2" fitToWidth="1" horizontalDpi="600" verticalDpi="600" orientation="portrait" paperSize="9" scale="61" r:id="rId2"/>
  <headerFooter alignWithMargins="0">
    <oddFooter>&amp;L&amp;G&amp;R&amp;"Arial,Halvfet"&amp;18NC, SC - Bergen 2012
PYRAMIDE: Professionl tournement tool</oddFooter>
  </headerFooter>
  <rowBreaks count="2" manualBreakCount="2">
    <brk id="45" max="255" man="1"/>
    <brk id="8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Wiik</dc:creator>
  <cp:keywords/>
  <dc:description/>
  <cp:lastModifiedBy>nkbf</cp:lastModifiedBy>
  <cp:lastPrinted>2012-02-26T10:49:45Z</cp:lastPrinted>
  <dcterms:created xsi:type="dcterms:W3CDTF">2007-02-24T21:23:30Z</dcterms:created>
  <dcterms:modified xsi:type="dcterms:W3CDTF">2012-02-26T14:09:17Z</dcterms:modified>
  <cp:category/>
  <cp:version/>
  <cp:contentType/>
  <cp:contentStatus/>
</cp:coreProperties>
</file>